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My Stuff\HTML\Sites\Sites-Completed\Hooties Hackers\excel\"/>
    </mc:Choice>
  </mc:AlternateContent>
  <bookViews>
    <workbookView xWindow="360" yWindow="36" windowWidth="25752" windowHeight="11592"/>
  </bookViews>
  <sheets>
    <sheet name="Score" sheetId="1" r:id="rId1"/>
  </sheets>
  <calcPr calcId="152511"/>
</workbook>
</file>

<file path=xl/calcChain.xml><?xml version="1.0" encoding="utf-8"?>
<calcChain xmlns="http://schemas.openxmlformats.org/spreadsheetml/2006/main">
  <c r="U20" i="1" l="1"/>
  <c r="O20" i="1"/>
  <c r="I20" i="1"/>
  <c r="C20" i="1"/>
  <c r="L17" i="1"/>
  <c r="P17" i="1" s="1"/>
  <c r="R17" i="1" s="1"/>
  <c r="V17" i="1" s="1"/>
  <c r="X17" i="1" s="1"/>
  <c r="J17" i="1"/>
  <c r="G17" i="1"/>
  <c r="F17" i="1"/>
  <c r="F16" i="1"/>
  <c r="J16" i="1" s="1"/>
  <c r="L16" i="1" s="1"/>
  <c r="P16" i="1" s="1"/>
  <c r="R16" i="1" s="1"/>
  <c r="V16" i="1" s="1"/>
  <c r="X16" i="1" s="1"/>
  <c r="J15" i="1"/>
  <c r="L15" i="1" s="1"/>
  <c r="P15" i="1" s="1"/>
  <c r="R15" i="1" s="1"/>
  <c r="V15" i="1" s="1"/>
  <c r="X15" i="1" s="1"/>
  <c r="G15" i="1"/>
  <c r="M15" i="1" s="1"/>
  <c r="F15" i="1"/>
  <c r="J14" i="1"/>
  <c r="L14" i="1" s="1"/>
  <c r="P14" i="1" s="1"/>
  <c r="R14" i="1" s="1"/>
  <c r="V14" i="1" s="1"/>
  <c r="X14" i="1" s="1"/>
  <c r="F14" i="1"/>
  <c r="G14" i="1" s="1"/>
  <c r="P13" i="1"/>
  <c r="R13" i="1" s="1"/>
  <c r="V13" i="1" s="1"/>
  <c r="X13" i="1" s="1"/>
  <c r="F13" i="1"/>
  <c r="J13" i="1" s="1"/>
  <c r="L13" i="1" s="1"/>
  <c r="F12" i="1"/>
  <c r="L11" i="1"/>
  <c r="P11" i="1" s="1"/>
  <c r="R11" i="1" s="1"/>
  <c r="V11" i="1" s="1"/>
  <c r="X11" i="1" s="1"/>
  <c r="J11" i="1"/>
  <c r="F11" i="1"/>
  <c r="G11" i="1" s="1"/>
  <c r="F10" i="1"/>
  <c r="J10" i="1" s="1"/>
  <c r="L10" i="1" s="1"/>
  <c r="P10" i="1" s="1"/>
  <c r="R10" i="1" s="1"/>
  <c r="V10" i="1" s="1"/>
  <c r="X10" i="1" s="1"/>
  <c r="L9" i="1"/>
  <c r="P9" i="1" s="1"/>
  <c r="R9" i="1" s="1"/>
  <c r="V9" i="1" s="1"/>
  <c r="X9" i="1" s="1"/>
  <c r="J9" i="1"/>
  <c r="G9" i="1"/>
  <c r="F9" i="1"/>
  <c r="F8" i="1"/>
  <c r="J8" i="1" s="1"/>
  <c r="L8" i="1" s="1"/>
  <c r="P8" i="1" s="1"/>
  <c r="R8" i="1" s="1"/>
  <c r="V8" i="1" s="1"/>
  <c r="X8" i="1" s="1"/>
  <c r="J7" i="1"/>
  <c r="L7" i="1" s="1"/>
  <c r="P7" i="1" s="1"/>
  <c r="R7" i="1" s="1"/>
  <c r="V7" i="1" s="1"/>
  <c r="X7" i="1" s="1"/>
  <c r="G7" i="1"/>
  <c r="F7" i="1"/>
  <c r="J6" i="1"/>
  <c r="L6" i="1" s="1"/>
  <c r="G6" i="1"/>
  <c r="F6" i="1"/>
  <c r="M11" i="1" l="1"/>
  <c r="Y11" i="1"/>
  <c r="S11" i="1"/>
  <c r="P6" i="1"/>
  <c r="R6" i="1" s="1"/>
  <c r="M6" i="1"/>
  <c r="Y14" i="1"/>
  <c r="Y17" i="1"/>
  <c r="Y7" i="1"/>
  <c r="Y9" i="1"/>
  <c r="M9" i="1"/>
  <c r="S9" i="1"/>
  <c r="G12" i="1"/>
  <c r="J12" i="1"/>
  <c r="L12" i="1" s="1"/>
  <c r="P12" i="1" s="1"/>
  <c r="R12" i="1" s="1"/>
  <c r="V12" i="1" s="1"/>
  <c r="X12" i="1" s="1"/>
  <c r="S15" i="1"/>
  <c r="S7" i="1"/>
  <c r="S14" i="1"/>
  <c r="M14" i="1"/>
  <c r="G10" i="1"/>
  <c r="Y15" i="1"/>
  <c r="G13" i="1"/>
  <c r="S6" i="1"/>
  <c r="M7" i="1"/>
  <c r="G8" i="1"/>
  <c r="G16" i="1"/>
  <c r="S17" i="1"/>
  <c r="M17" i="1"/>
  <c r="G24" i="1"/>
  <c r="C24" i="1" s="1"/>
  <c r="G25" i="1"/>
  <c r="C25" i="1" s="1"/>
  <c r="G26" i="1"/>
  <c r="C26" i="1" s="1"/>
  <c r="G27" i="1"/>
  <c r="C27" i="1" s="1"/>
  <c r="G28" i="1"/>
  <c r="G29" i="1"/>
  <c r="C29" i="1" s="1"/>
  <c r="G30" i="1"/>
  <c r="C30" i="1" s="1"/>
  <c r="G31" i="1"/>
  <c r="C31" i="1" s="1"/>
  <c r="G32" i="1"/>
  <c r="C32" i="1" s="1"/>
  <c r="F30" i="1" l="1"/>
  <c r="G22" i="1"/>
  <c r="G23" i="1"/>
  <c r="Y8" i="1"/>
  <c r="S8" i="1"/>
  <c r="M8" i="1"/>
  <c r="H27" i="1"/>
  <c r="F29" i="1"/>
  <c r="H26" i="1"/>
  <c r="F28" i="1"/>
  <c r="H25" i="1"/>
  <c r="F27" i="1"/>
  <c r="M13" i="1"/>
  <c r="M26" i="1" s="1"/>
  <c r="S13" i="1"/>
  <c r="Y13" i="1"/>
  <c r="S12" i="1"/>
  <c r="Y12" i="1"/>
  <c r="M12" i="1"/>
  <c r="M31" i="1"/>
  <c r="M30" i="1"/>
  <c r="L30" i="1" s="1"/>
  <c r="M24" i="1"/>
  <c r="I24" i="1" s="1"/>
  <c r="M23" i="1"/>
  <c r="H24" i="1"/>
  <c r="F26" i="1"/>
  <c r="G33" i="1"/>
  <c r="V6" i="1"/>
  <c r="X6" i="1" s="1"/>
  <c r="Y6" i="1" s="1"/>
  <c r="H31" i="1"/>
  <c r="F25" i="1"/>
  <c r="S10" i="1"/>
  <c r="S28" i="1" s="1"/>
  <c r="M10" i="1"/>
  <c r="M29" i="1" s="1"/>
  <c r="Y10" i="1"/>
  <c r="H32" i="1"/>
  <c r="H30" i="1"/>
  <c r="F32" i="1"/>
  <c r="F24" i="1"/>
  <c r="H29" i="1"/>
  <c r="F31" i="1"/>
  <c r="C28" i="1"/>
  <c r="Y16" i="1"/>
  <c r="S16" i="1"/>
  <c r="M16" i="1"/>
  <c r="L29" i="1" l="1"/>
  <c r="I29" i="1"/>
  <c r="R28" i="1"/>
  <c r="O28" i="1"/>
  <c r="Y33" i="1"/>
  <c r="Z33" i="1" s="1"/>
  <c r="Y32" i="1"/>
  <c r="Y31" i="1"/>
  <c r="Y30" i="1"/>
  <c r="X30" i="1" s="1"/>
  <c r="Y29" i="1"/>
  <c r="Y28" i="1"/>
  <c r="Y27" i="1"/>
  <c r="Y26" i="1"/>
  <c r="Y24" i="1"/>
  <c r="Z24" i="1" s="1"/>
  <c r="Y23" i="1"/>
  <c r="X32" i="1"/>
  <c r="X31" i="1"/>
  <c r="X29" i="1"/>
  <c r="X28" i="1"/>
  <c r="X27" i="1"/>
  <c r="X26" i="1"/>
  <c r="X23" i="1"/>
  <c r="U32" i="1"/>
  <c r="U31" i="1"/>
  <c r="U30" i="1"/>
  <c r="U28" i="1"/>
  <c r="U27" i="1"/>
  <c r="U25" i="1"/>
  <c r="U23" i="1"/>
  <c r="U22" i="1"/>
  <c r="Y25" i="1"/>
  <c r="Y22" i="1"/>
  <c r="Z22" i="1" s="1"/>
  <c r="N26" i="1"/>
  <c r="I26" i="1"/>
  <c r="L26" i="1"/>
  <c r="M28" i="1"/>
  <c r="M33" i="1"/>
  <c r="S30" i="1"/>
  <c r="L24" i="1"/>
  <c r="M32" i="1"/>
  <c r="S29" i="1"/>
  <c r="I30" i="1"/>
  <c r="S23" i="1"/>
  <c r="S31" i="1"/>
  <c r="N23" i="1"/>
  <c r="M22" i="1"/>
  <c r="H33" i="1"/>
  <c r="F33" i="1"/>
  <c r="C33" i="1"/>
  <c r="I23" i="1"/>
  <c r="I31" i="1"/>
  <c r="M25" i="1"/>
  <c r="S24" i="1"/>
  <c r="S32" i="1"/>
  <c r="M27" i="1"/>
  <c r="S25" i="1"/>
  <c r="S33" i="1"/>
  <c r="S26" i="1"/>
  <c r="S22" i="1"/>
  <c r="H23" i="1"/>
  <c r="F23" i="1"/>
  <c r="C23" i="1"/>
  <c r="N30" i="1"/>
  <c r="S27" i="1"/>
  <c r="H22" i="1"/>
  <c r="C22" i="1"/>
  <c r="F22" i="1"/>
  <c r="L23" i="1"/>
  <c r="N24" i="1"/>
  <c r="L31" i="1"/>
  <c r="H28" i="1"/>
  <c r="T24" i="1" l="1"/>
  <c r="O24" i="1"/>
  <c r="R24" i="1"/>
  <c r="T30" i="1"/>
  <c r="R30" i="1"/>
  <c r="O30" i="1"/>
  <c r="Z23" i="1"/>
  <c r="Z32" i="1"/>
  <c r="T22" i="1"/>
  <c r="R22" i="1"/>
  <c r="O22" i="1"/>
  <c r="T23" i="1"/>
  <c r="R23" i="1"/>
  <c r="O23" i="1"/>
  <c r="N28" i="1"/>
  <c r="L28" i="1"/>
  <c r="I28" i="1"/>
  <c r="U24" i="1"/>
  <c r="Z26" i="1"/>
  <c r="U33" i="1"/>
  <c r="Z27" i="1"/>
  <c r="N33" i="1"/>
  <c r="I33" i="1"/>
  <c r="L33" i="1"/>
  <c r="T26" i="1"/>
  <c r="O26" i="1"/>
  <c r="R26" i="1"/>
  <c r="T33" i="1"/>
  <c r="O33" i="1"/>
  <c r="R33" i="1"/>
  <c r="T29" i="1"/>
  <c r="R29" i="1"/>
  <c r="O29" i="1"/>
  <c r="U26" i="1"/>
  <c r="X22" i="1"/>
  <c r="Z28" i="1"/>
  <c r="T28" i="1"/>
  <c r="N25" i="1"/>
  <c r="I25" i="1"/>
  <c r="L25" i="1"/>
  <c r="T27" i="1"/>
  <c r="R27" i="1"/>
  <c r="O27" i="1"/>
  <c r="N32" i="1"/>
  <c r="L32" i="1"/>
  <c r="I32" i="1"/>
  <c r="Z29" i="1"/>
  <c r="X24" i="1"/>
  <c r="Z30" i="1"/>
  <c r="T31" i="1"/>
  <c r="O31" i="1"/>
  <c r="R31" i="1"/>
  <c r="T25" i="1"/>
  <c r="O25" i="1"/>
  <c r="R25" i="1"/>
  <c r="N27" i="1"/>
  <c r="I27" i="1"/>
  <c r="L27" i="1"/>
  <c r="T32" i="1"/>
  <c r="O32" i="1"/>
  <c r="R32" i="1"/>
  <c r="N22" i="1"/>
  <c r="L22" i="1"/>
  <c r="I22" i="1"/>
  <c r="N31" i="1"/>
  <c r="Z25" i="1"/>
  <c r="U29" i="1"/>
  <c r="X25" i="1"/>
  <c r="X33" i="1"/>
  <c r="Z31" i="1"/>
  <c r="N29" i="1"/>
</calcChain>
</file>

<file path=xl/sharedStrings.xml><?xml version="1.0" encoding="utf-8"?>
<sst xmlns="http://schemas.openxmlformats.org/spreadsheetml/2006/main" count="78" uniqueCount="49">
  <si>
    <t>Year</t>
  </si>
  <si>
    <t>Panthers Run</t>
  </si>
  <si>
    <t>Heritage</t>
  </si>
  <si>
    <t>Parkland</t>
  </si>
  <si>
    <t>Oyster Bay</t>
  </si>
  <si>
    <t>White</t>
  </si>
  <si>
    <t>White</t>
  </si>
  <si>
    <t>White</t>
  </si>
  <si>
    <t>Tee:</t>
  </si>
  <si>
    <t>Blue</t>
  </si>
  <si>
    <t>Rating:</t>
  </si>
  <si>
    <t>Date:</t>
  </si>
  <si>
    <t>Slope:</t>
  </si>
  <si>
    <t>Par:</t>
  </si>
  <si>
    <t>Player</t>
  </si>
  <si>
    <t>Initial Handicap</t>
  </si>
  <si>
    <t>Day 1 Total</t>
  </si>
  <si>
    <t>Day 2 Total</t>
  </si>
  <si>
    <t>Day 3 Total</t>
  </si>
  <si>
    <t>Adjusted Handicap</t>
  </si>
  <si>
    <t>Score</t>
  </si>
  <si>
    <t>Net</t>
  </si>
  <si>
    <t>Day 4 Total</t>
  </si>
  <si>
    <t>George -</t>
  </si>
  <si>
    <t>Nick -</t>
  </si>
  <si>
    <t>Tom B -</t>
  </si>
  <si>
    <t>John P -</t>
  </si>
  <si>
    <t>Bill S -</t>
  </si>
  <si>
    <t>Roger -</t>
  </si>
  <si>
    <t>Joe -</t>
  </si>
  <si>
    <t>~</t>
  </si>
  <si>
    <t>~</t>
  </si>
  <si>
    <t>~</t>
  </si>
  <si>
    <t>~</t>
  </si>
  <si>
    <t>~</t>
  </si>
  <si>
    <t>Leader Board</t>
  </si>
  <si>
    <t>Position</t>
  </si>
  <si>
    <t>Player</t>
  </si>
  <si>
    <t>Back</t>
  </si>
  <si>
    <t>Player</t>
  </si>
  <si>
    <t>Player</t>
  </si>
  <si>
    <t>Total</t>
  </si>
  <si>
    <t>Back</t>
  </si>
  <si>
    <t>Player</t>
  </si>
  <si>
    <t>Net</t>
  </si>
  <si>
    <t>Total</t>
  </si>
  <si>
    <t>Back</t>
  </si>
  <si>
    <t>Net = Score - Handicap</t>
  </si>
  <si>
    <t>Adj. Handicap = Net - Par / 2 +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</si>
</sst>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0.0"/>
  </numFmts>
  <fonts count="17" x14ac:knownFonts="1"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color rgb="FF0000FF"/>
      <name val="Arial"/>
    </font>
    <font>
      <sz val="10"/>
      <color rgb="FF0000FF"/>
      <name val="Arial"/>
    </font>
    <font>
      <b/>
      <sz val="18"/>
      <color rgb="FFFFFFFF"/>
      <name val="Georgia"/>
    </font>
    <font>
      <sz val="10"/>
      <color rgb="FFC0C0C0"/>
      <name val="Arial"/>
    </font>
    <font>
      <b/>
      <sz val="10"/>
      <color rgb="FFC0C0C0"/>
      <name val="Arial"/>
    </font>
    <font>
      <sz val="10"/>
      <color rgb="FFFF0000"/>
      <name val="Verdana"/>
    </font>
    <font>
      <b/>
      <sz val="14"/>
      <color rgb="FF000000"/>
      <name val="Arial"/>
    </font>
    <font>
      <b/>
      <sz val="10"/>
      <color rgb="FFFFFFFF"/>
      <name val="Arial"/>
    </font>
    <font>
      <sz val="12"/>
      <color rgb="FF000000"/>
      <name val="Arial"/>
    </font>
    <font>
      <b/>
      <sz val="12"/>
      <color rgb="FF81793E"/>
      <name val="Times New Roman"/>
    </font>
    <font>
      <sz val="12"/>
      <color rgb="FF000000"/>
      <name val="Times New Roman"/>
    </font>
    <font>
      <sz val="11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CC00"/>
      </patternFill>
    </fill>
    <fill>
      <patternFill patternType="solid">
        <fgColor rgb="FF95B3D7"/>
      </patternFill>
    </fill>
    <fill>
      <patternFill patternType="solid">
        <fgColor rgb="FF3366FF"/>
      </patternFill>
    </fill>
    <fill>
      <patternFill patternType="solid">
        <fgColor rgb="FFB8CCE4"/>
      </patternFill>
    </fill>
  </fills>
  <borders count="5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double">
        <color rgb="FF000000"/>
      </bottom>
      <diagonal/>
    </border>
    <border>
      <left style="thin">
        <color rgb="FF969696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69696"/>
      </left>
      <right/>
      <top/>
      <bottom style="thin">
        <color rgb="FF000000"/>
      </bottom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969696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969696"/>
      </right>
      <top/>
      <bottom style="thin">
        <color rgb="FF000000"/>
      </bottom>
      <diagonal/>
    </border>
    <border>
      <left style="double">
        <color rgb="FF000000"/>
      </left>
      <right style="thin">
        <color rgb="FF969696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0" xfId="0" applyFont="1" applyFill="1" applyAlignment="1"/>
    <xf numFmtId="0" fontId="8" fillId="0" borderId="0" xfId="0" applyFont="1" applyFill="1" applyAlignment="1"/>
    <xf numFmtId="0" fontId="4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34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/>
    <xf numFmtId="0" fontId="3" fillId="0" borderId="34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/>
    <xf numFmtId="0" fontId="8" fillId="0" borderId="0" xfId="0" applyFont="1" applyFill="1" applyBorder="1" applyAlignment="1"/>
    <xf numFmtId="1" fontId="8" fillId="0" borderId="0" xfId="0" applyNumberFormat="1" applyFont="1" applyFill="1" applyBorder="1" applyAlignment="1"/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" fontId="8" fillId="0" borderId="0" xfId="0" applyNumberFormat="1" applyFont="1" applyFill="1" applyAlignment="1"/>
    <xf numFmtId="0" fontId="10" fillId="0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left"/>
    </xf>
    <xf numFmtId="0" fontId="13" fillId="0" borderId="32" xfId="0" applyFont="1" applyFill="1" applyBorder="1" applyAlignment="1"/>
    <xf numFmtId="1" fontId="13" fillId="0" borderId="21" xfId="0" applyNumberFormat="1" applyFont="1" applyFill="1" applyBorder="1" applyAlignment="1">
      <alignment horizontal="center"/>
    </xf>
    <xf numFmtId="1" fontId="4" fillId="7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/>
    <xf numFmtId="1" fontId="13" fillId="0" borderId="34" xfId="0" applyNumberFormat="1" applyFont="1" applyFill="1" applyBorder="1" applyAlignment="1">
      <alignment horizontal="center"/>
    </xf>
    <xf numFmtId="1" fontId="13" fillId="0" borderId="9" xfId="0" applyNumberFormat="1" applyFont="1" applyFill="1" applyBorder="1" applyAlignment="1"/>
    <xf numFmtId="1" fontId="13" fillId="0" borderId="22" xfId="0" applyNumberFormat="1" applyFont="1" applyFill="1" applyBorder="1" applyAlignment="1">
      <alignment horizontal="center"/>
    </xf>
    <xf numFmtId="1" fontId="4" fillId="7" borderId="17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1" fontId="13" fillId="0" borderId="18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1" fontId="13" fillId="0" borderId="33" xfId="0" applyNumberFormat="1" applyFont="1" applyFill="1" applyBorder="1" applyAlignment="1">
      <alignment horizontal="center"/>
    </xf>
    <xf numFmtId="1" fontId="13" fillId="0" borderId="23" xfId="0" applyNumberFormat="1" applyFont="1" applyFill="1" applyBorder="1" applyAlignment="1">
      <alignment horizontal="center"/>
    </xf>
    <xf numFmtId="1" fontId="4" fillId="7" borderId="19" xfId="0" applyNumberFormat="1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1" fontId="13" fillId="0" borderId="20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4" fontId="0" fillId="0" borderId="9" xfId="0" applyNumberForma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ill="1" applyAlignment="1"/>
    <xf numFmtId="0" fontId="16" fillId="0" borderId="34" xfId="0" applyFont="1" applyFill="1" applyBorder="1" applyAlignment="1">
      <alignment horizontal="left"/>
    </xf>
    <xf numFmtId="1" fontId="13" fillId="3" borderId="15" xfId="0" applyNumberFormat="1" applyFont="1" applyFill="1" applyBorder="1" applyAlignment="1">
      <alignment horizontal="center"/>
    </xf>
    <xf numFmtId="1" fontId="13" fillId="3" borderId="29" xfId="0" applyNumberFormat="1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3" borderId="36" xfId="0" applyNumberFormat="1" applyFont="1" applyFill="1" applyBorder="1" applyAlignment="1">
      <alignment horizontal="center"/>
    </xf>
    <xf numFmtId="1" fontId="13" fillId="5" borderId="45" xfId="0" applyNumberFormat="1" applyFont="1" applyFill="1" applyBorder="1" applyAlignment="1">
      <alignment horizontal="center"/>
    </xf>
    <xf numFmtId="1" fontId="13" fillId="5" borderId="17" xfId="0" applyNumberFormat="1" applyFont="1" applyFill="1" applyBorder="1" applyAlignment="1">
      <alignment horizontal="center"/>
    </xf>
    <xf numFmtId="1" fontId="13" fillId="5" borderId="29" xfId="0" applyNumberFormat="1" applyFont="1" applyFill="1" applyBorder="1" applyAlignment="1">
      <alignment horizontal="center"/>
    </xf>
    <xf numFmtId="1" fontId="13" fillId="5" borderId="25" xfId="0" applyNumberFormat="1" applyFont="1" applyFill="1" applyBorder="1" applyAlignment="1">
      <alignment horizontal="center"/>
    </xf>
    <xf numFmtId="1" fontId="13" fillId="3" borderId="45" xfId="0" applyNumberFormat="1" applyFont="1" applyFill="1" applyBorder="1" applyAlignment="1">
      <alignment horizontal="center"/>
    </xf>
    <xf numFmtId="1" fontId="13" fillId="3" borderId="17" xfId="0" applyNumberFormat="1" applyFont="1" applyFill="1" applyBorder="1" applyAlignment="1">
      <alignment horizontal="center"/>
    </xf>
    <xf numFmtId="1" fontId="13" fillId="0" borderId="25" xfId="0" applyNumberFormat="1" applyFont="1" applyFill="1" applyBorder="1" applyAlignment="1">
      <alignment horizontal="center"/>
    </xf>
    <xf numFmtId="1" fontId="13" fillId="0" borderId="45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13" fillId="5" borderId="19" xfId="0" applyNumberFormat="1" applyFont="1" applyFill="1" applyBorder="1" applyAlignment="1">
      <alignment horizontal="center"/>
    </xf>
    <xf numFmtId="1" fontId="13" fillId="5" borderId="44" xfId="0" applyNumberFormat="1" applyFont="1" applyFill="1" applyBorder="1" applyAlignment="1">
      <alignment horizontal="center"/>
    </xf>
    <xf numFmtId="1" fontId="13" fillId="5" borderId="1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3" fillId="0" borderId="40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0" fontId="15" fillId="0" borderId="43" xfId="0" applyFont="1" applyBorder="1" applyAlignment="1"/>
    <xf numFmtId="0" fontId="13" fillId="5" borderId="38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35</xdr:row>
      <xdr:rowOff>118745</xdr:rowOff>
    </xdr:from>
    <xdr:to>
      <xdr:col>20</xdr:col>
      <xdr:colOff>167005</xdr:colOff>
      <xdr:row>47</xdr:row>
      <xdr:rowOff>149860</xdr:rowOff>
    </xdr:to>
    <xdr:pic>
      <xdr:nvPicPr>
        <xdr:cNvPr id="2" name="Picture 1" descr="xl/media/image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86480" y="395738985"/>
          <a:ext cx="320570860" cy="86222205"/>
        </a:xfrm>
        <a:prstGeom prst="rect">
          <a:avLst/>
        </a:prstGeom>
        <a:noFill/>
        <a:ln w="3175" cap="flat" cmpd="sng">
          <a:noFill/>
          <a:prstDash/>
          <a:miter lim="8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zoomScale="70" zoomScaleNormal="70" workbookViewId="0">
      <pane xSplit="2" topLeftCell="C1" activePane="topRight" state="frozen"/>
      <selection pane="topRight" activeCell="W18" sqref="W18"/>
    </sheetView>
  </sheetViews>
  <sheetFormatPr defaultColWidth="13.3984375" defaultRowHeight="13.2" x14ac:dyDescent="0.25"/>
  <cols>
    <col min="1" max="1" width="9.09765625" style="2" customWidth="1"/>
    <col min="2" max="2" width="12.796875" style="2" customWidth="1"/>
    <col min="3" max="4" width="10" style="2" customWidth="1"/>
    <col min="5" max="5" width="7.296875" style="2" customWidth="1"/>
    <col min="6" max="7" width="9.296875" style="2" customWidth="1"/>
    <col min="8" max="8" width="8.296875" style="2" customWidth="1"/>
    <col min="9" max="10" width="10" style="2" customWidth="1"/>
    <col min="11" max="11" width="7.296875" style="2" customWidth="1"/>
    <col min="12" max="13" width="9.296875" style="2" customWidth="1"/>
    <col min="14" max="14" width="8.296875" style="2" customWidth="1"/>
    <col min="15" max="16" width="10" style="2" customWidth="1"/>
    <col min="17" max="17" width="7.296875" style="2" customWidth="1"/>
    <col min="18" max="19" width="9.296875" style="2" customWidth="1"/>
    <col min="20" max="20" width="8.296875" style="2" customWidth="1"/>
    <col min="21" max="22" width="10" style="2" customWidth="1"/>
    <col min="23" max="23" width="7.296875" style="2" customWidth="1"/>
    <col min="24" max="25" width="9.296875" style="2" customWidth="1"/>
    <col min="26" max="26" width="8.296875" style="2" customWidth="1"/>
    <col min="27" max="28" width="10" style="2" customWidth="1"/>
    <col min="29" max="29" width="7.296875" style="2" customWidth="1"/>
    <col min="30" max="31" width="9.296875" style="2" customWidth="1"/>
    <col min="32" max="32" width="8.296875" style="2" customWidth="1"/>
    <col min="33" max="33" width="8.3984375" style="2" customWidth="1"/>
    <col min="34" max="35" width="10" style="2" customWidth="1"/>
    <col min="36" max="37" width="11.3984375" style="2" customWidth="1"/>
    <col min="38" max="38" width="13.3984375" style="2" customWidth="1"/>
    <col min="39" max="16384" width="13.3984375" style="2"/>
  </cols>
  <sheetData>
    <row r="1" spans="1:29" s="3" customFormat="1" ht="15.6" x14ac:dyDescent="0.3">
      <c r="A1" s="131" t="s">
        <v>0</v>
      </c>
      <c r="B1" s="132"/>
      <c r="C1" s="2"/>
      <c r="D1" s="133" t="s">
        <v>1</v>
      </c>
      <c r="E1" s="134"/>
      <c r="F1" s="134"/>
      <c r="G1" s="135"/>
      <c r="H1" s="19"/>
      <c r="I1" s="20"/>
      <c r="J1" s="133" t="s">
        <v>2</v>
      </c>
      <c r="K1" s="134"/>
      <c r="L1" s="134"/>
      <c r="M1" s="135"/>
      <c r="N1" s="21"/>
      <c r="O1" s="22"/>
      <c r="P1" s="133" t="s">
        <v>3</v>
      </c>
      <c r="Q1" s="134"/>
      <c r="R1" s="134"/>
      <c r="S1" s="135"/>
      <c r="T1" s="19"/>
      <c r="U1" s="20"/>
      <c r="V1" s="136" t="s">
        <v>4</v>
      </c>
      <c r="W1" s="137"/>
      <c r="X1" s="137"/>
      <c r="Y1" s="138"/>
      <c r="Z1" s="19"/>
      <c r="AA1" s="22"/>
      <c r="AB1" s="21"/>
    </row>
    <row r="2" spans="1:29" s="3" customFormat="1" ht="13.8" x14ac:dyDescent="0.25">
      <c r="A2" s="125"/>
      <c r="B2" s="126"/>
      <c r="C2" s="2"/>
      <c r="D2" s="60" t="s">
        <v>8</v>
      </c>
      <c r="E2" s="139" t="s">
        <v>5</v>
      </c>
      <c r="F2" s="139"/>
      <c r="G2" s="140"/>
      <c r="H2" s="63"/>
      <c r="I2" s="63"/>
      <c r="J2" s="60" t="s">
        <v>8</v>
      </c>
      <c r="K2" s="139" t="s">
        <v>6</v>
      </c>
      <c r="L2" s="139"/>
      <c r="M2" s="140"/>
      <c r="N2" s="63"/>
      <c r="O2" s="63"/>
      <c r="P2" s="60" t="s">
        <v>8</v>
      </c>
      <c r="Q2" s="1" t="s">
        <v>7</v>
      </c>
      <c r="R2" s="1"/>
      <c r="S2" s="1"/>
      <c r="T2" s="64"/>
      <c r="U2" s="65"/>
      <c r="V2" s="60" t="s">
        <v>8</v>
      </c>
      <c r="W2" s="139" t="s">
        <v>9</v>
      </c>
      <c r="X2" s="139"/>
      <c r="Y2" s="140"/>
      <c r="Z2" s="23"/>
      <c r="AA2" s="22"/>
    </row>
    <row r="3" spans="1:29" s="3" customFormat="1" ht="13.8" x14ac:dyDescent="0.25">
      <c r="A3" s="125">
        <v>2015</v>
      </c>
      <c r="B3" s="126"/>
      <c r="C3" s="2"/>
      <c r="D3" s="60" t="s">
        <v>10</v>
      </c>
      <c r="E3" s="66">
        <v>69.900000000000006</v>
      </c>
      <c r="F3" s="67" t="s">
        <v>11</v>
      </c>
      <c r="G3" s="68">
        <v>42169</v>
      </c>
      <c r="H3" s="63"/>
      <c r="I3" s="63"/>
      <c r="J3" s="60" t="s">
        <v>10</v>
      </c>
      <c r="K3" s="66">
        <v>71.099999999999994</v>
      </c>
      <c r="L3" s="67" t="s">
        <v>11</v>
      </c>
      <c r="M3" s="68">
        <v>42170</v>
      </c>
      <c r="N3" s="63"/>
      <c r="O3" s="63"/>
      <c r="P3" s="60" t="s">
        <v>10</v>
      </c>
      <c r="Q3" s="1">
        <v>71.400000000000006</v>
      </c>
      <c r="R3" s="67" t="s">
        <v>11</v>
      </c>
      <c r="S3" s="68">
        <v>42172</v>
      </c>
      <c r="T3" s="64"/>
      <c r="U3" s="65"/>
      <c r="V3" s="60" t="s">
        <v>10</v>
      </c>
      <c r="W3" s="66">
        <v>69.8</v>
      </c>
      <c r="X3" s="67" t="s">
        <v>11</v>
      </c>
      <c r="Y3" s="68">
        <v>42174</v>
      </c>
      <c r="Z3" s="23"/>
      <c r="AA3" s="22"/>
    </row>
    <row r="4" spans="1:29" s="3" customFormat="1" ht="13.5" customHeight="1" x14ac:dyDescent="0.25">
      <c r="A4" s="127"/>
      <c r="B4" s="128"/>
      <c r="C4" s="2"/>
      <c r="D4" s="69" t="s">
        <v>12</v>
      </c>
      <c r="E4" s="1">
        <v>124</v>
      </c>
      <c r="F4" s="71" t="s">
        <v>13</v>
      </c>
      <c r="G4" s="72">
        <v>72</v>
      </c>
      <c r="H4" s="73"/>
      <c r="I4" s="74"/>
      <c r="J4" s="69" t="s">
        <v>12</v>
      </c>
      <c r="K4" s="70">
        <v>127</v>
      </c>
      <c r="L4" s="71" t="s">
        <v>13</v>
      </c>
      <c r="M4" s="72">
        <v>71</v>
      </c>
      <c r="N4" s="73"/>
      <c r="O4" s="61"/>
      <c r="P4" s="69" t="s">
        <v>12</v>
      </c>
      <c r="Q4" s="1">
        <v>135</v>
      </c>
      <c r="R4" s="71" t="s">
        <v>13</v>
      </c>
      <c r="S4" s="72">
        <v>72</v>
      </c>
      <c r="T4" s="75"/>
      <c r="U4" s="62"/>
      <c r="V4" s="69" t="s">
        <v>12</v>
      </c>
      <c r="W4" s="70">
        <v>130</v>
      </c>
      <c r="X4" s="71" t="s">
        <v>13</v>
      </c>
      <c r="Y4" s="72">
        <v>71</v>
      </c>
      <c r="Z4" s="24"/>
      <c r="AA4" s="39"/>
    </row>
    <row r="5" spans="1:29" s="4" customFormat="1" ht="58.5" customHeight="1" x14ac:dyDescent="0.3">
      <c r="A5" s="129" t="s">
        <v>14</v>
      </c>
      <c r="B5" s="130"/>
      <c r="C5" s="2"/>
      <c r="D5" s="28" t="s">
        <v>15</v>
      </c>
      <c r="E5" s="38" t="s">
        <v>20</v>
      </c>
      <c r="F5" s="25" t="s">
        <v>21</v>
      </c>
      <c r="G5" s="26" t="s">
        <v>16</v>
      </c>
      <c r="H5" s="27"/>
      <c r="I5" s="2"/>
      <c r="J5" s="28" t="s">
        <v>19</v>
      </c>
      <c r="K5" s="38" t="s">
        <v>20</v>
      </c>
      <c r="L5" s="25" t="s">
        <v>21</v>
      </c>
      <c r="M5" s="26" t="s">
        <v>17</v>
      </c>
      <c r="N5" s="27"/>
      <c r="O5" s="29"/>
      <c r="P5" s="28" t="s">
        <v>19</v>
      </c>
      <c r="Q5" s="38" t="s">
        <v>20</v>
      </c>
      <c r="R5" s="25" t="s">
        <v>21</v>
      </c>
      <c r="S5" s="26" t="s">
        <v>18</v>
      </c>
      <c r="T5" s="30"/>
      <c r="U5" s="31"/>
      <c r="V5" s="28" t="s">
        <v>19</v>
      </c>
      <c r="W5" s="38" t="s">
        <v>20</v>
      </c>
      <c r="X5" s="25" t="s">
        <v>21</v>
      </c>
      <c r="Y5" s="26" t="s">
        <v>22</v>
      </c>
      <c r="Z5" s="30"/>
      <c r="AA5" s="29"/>
      <c r="AB5" s="27"/>
    </row>
    <row r="6" spans="1:29" ht="20.100000000000001" customHeight="1" x14ac:dyDescent="0.3">
      <c r="A6" s="118" t="s">
        <v>23</v>
      </c>
      <c r="B6" s="119"/>
      <c r="C6" s="40"/>
      <c r="D6" s="41">
        <v>36</v>
      </c>
      <c r="E6" s="42">
        <v>102</v>
      </c>
      <c r="F6" s="43">
        <f t="shared" ref="F6:F17" si="0">E6-D6</f>
        <v>66</v>
      </c>
      <c r="G6" s="44">
        <f t="shared" ref="G6:G17" si="1">F6</f>
        <v>66</v>
      </c>
      <c r="H6" s="45"/>
      <c r="I6" s="46"/>
      <c r="J6" s="41">
        <f>ROUND(((F6-G4)/2)+D6,0)</f>
        <v>33</v>
      </c>
      <c r="K6" s="42">
        <v>104</v>
      </c>
      <c r="L6" s="43">
        <f t="shared" ref="L6:L17" si="2">(K6-J6)</f>
        <v>71</v>
      </c>
      <c r="M6" s="44">
        <f t="shared" ref="M6:M17" si="3">SUM(G6,L6)</f>
        <v>137</v>
      </c>
      <c r="N6" s="45"/>
      <c r="O6" s="46"/>
      <c r="P6" s="41">
        <f>ROUND(((L6-M4)/2)+J6,0)</f>
        <v>33</v>
      </c>
      <c r="Q6" s="42">
        <v>107</v>
      </c>
      <c r="R6" s="43">
        <f t="shared" ref="R6:R17" si="4">Q6-P6</f>
        <v>74</v>
      </c>
      <c r="S6" s="44">
        <f t="shared" ref="S6:S17" si="5">SUM(G6,L6,R6)</f>
        <v>211</v>
      </c>
      <c r="T6" s="47"/>
      <c r="U6" s="48"/>
      <c r="V6" s="41">
        <f>ROUND(((R6-Y4)/2)+P6,0)</f>
        <v>35</v>
      </c>
      <c r="W6" s="42">
        <v>105</v>
      </c>
      <c r="X6" s="43">
        <f t="shared" ref="X6:X17" si="6">(W6-V6)</f>
        <v>70</v>
      </c>
      <c r="Y6" s="44">
        <f t="shared" ref="Y6:Y17" si="7">SUM(G6,L6,R6,X6)</f>
        <v>281</v>
      </c>
      <c r="Z6" s="18"/>
      <c r="AA6" s="17"/>
      <c r="AB6" s="16"/>
      <c r="AC6" s="4"/>
    </row>
    <row r="7" spans="1:29" ht="20.100000000000001" customHeight="1" x14ac:dyDescent="0.3">
      <c r="A7" s="118" t="s">
        <v>24</v>
      </c>
      <c r="B7" s="119"/>
      <c r="C7" s="40"/>
      <c r="D7" s="49">
        <v>29</v>
      </c>
      <c r="E7" s="50">
        <v>114</v>
      </c>
      <c r="F7" s="51">
        <f t="shared" si="0"/>
        <v>85</v>
      </c>
      <c r="G7" s="52">
        <f t="shared" si="1"/>
        <v>85</v>
      </c>
      <c r="H7" s="45"/>
      <c r="I7" s="46"/>
      <c r="J7" s="49">
        <f>ROUND(((F7-G4)/2)+D7,0)</f>
        <v>36</v>
      </c>
      <c r="K7" s="50">
        <v>114</v>
      </c>
      <c r="L7" s="51">
        <f t="shared" si="2"/>
        <v>78</v>
      </c>
      <c r="M7" s="52">
        <f t="shared" si="3"/>
        <v>163</v>
      </c>
      <c r="N7" s="45"/>
      <c r="O7" s="46"/>
      <c r="P7" s="49">
        <f>ROUND(((L7-M4)/2)+J7,0)</f>
        <v>40</v>
      </c>
      <c r="Q7" s="50">
        <v>107</v>
      </c>
      <c r="R7" s="51">
        <f t="shared" si="4"/>
        <v>67</v>
      </c>
      <c r="S7" s="52">
        <f t="shared" si="5"/>
        <v>230</v>
      </c>
      <c r="T7" s="47"/>
      <c r="U7" s="48"/>
      <c r="V7" s="49">
        <f>ROUND(((R7-Y4)/2)+P7,0)</f>
        <v>38</v>
      </c>
      <c r="W7" s="50">
        <v>103</v>
      </c>
      <c r="X7" s="51">
        <f t="shared" si="6"/>
        <v>65</v>
      </c>
      <c r="Y7" s="52">
        <f t="shared" si="7"/>
        <v>295</v>
      </c>
      <c r="Z7" s="18"/>
      <c r="AA7" s="17"/>
      <c r="AB7" s="16"/>
      <c r="AC7" s="4"/>
    </row>
    <row r="8" spans="1:29" ht="20.100000000000001" customHeight="1" x14ac:dyDescent="0.3">
      <c r="A8" s="118" t="s">
        <v>25</v>
      </c>
      <c r="B8" s="119"/>
      <c r="C8" s="40"/>
      <c r="D8" s="49">
        <v>27</v>
      </c>
      <c r="E8" s="50">
        <v>109</v>
      </c>
      <c r="F8" s="51">
        <f t="shared" si="0"/>
        <v>82</v>
      </c>
      <c r="G8" s="52">
        <f t="shared" si="1"/>
        <v>82</v>
      </c>
      <c r="H8" s="53"/>
      <c r="I8" s="46"/>
      <c r="J8" s="49">
        <f>ROUND(((F8-G4)/2)+D8,0)</f>
        <v>32</v>
      </c>
      <c r="K8" s="50">
        <v>110</v>
      </c>
      <c r="L8" s="51">
        <f t="shared" si="2"/>
        <v>78</v>
      </c>
      <c r="M8" s="52">
        <f t="shared" si="3"/>
        <v>160</v>
      </c>
      <c r="N8" s="45"/>
      <c r="O8" s="46"/>
      <c r="P8" s="49">
        <f>ROUND(((L8-M4)/2)+J8,0)</f>
        <v>36</v>
      </c>
      <c r="Q8" s="50">
        <v>105</v>
      </c>
      <c r="R8" s="51">
        <f t="shared" si="4"/>
        <v>69</v>
      </c>
      <c r="S8" s="52">
        <f t="shared" si="5"/>
        <v>229</v>
      </c>
      <c r="T8" s="47"/>
      <c r="U8" s="48"/>
      <c r="V8" s="49">
        <f>ROUND(((R8-Y4)/2)+P8,0)</f>
        <v>35</v>
      </c>
      <c r="W8" s="50">
        <v>111</v>
      </c>
      <c r="X8" s="51">
        <f t="shared" si="6"/>
        <v>76</v>
      </c>
      <c r="Y8" s="52">
        <f t="shared" si="7"/>
        <v>305</v>
      </c>
      <c r="Z8" s="18"/>
      <c r="AA8" s="17"/>
      <c r="AB8" s="16"/>
      <c r="AC8" s="4"/>
    </row>
    <row r="9" spans="1:29" ht="20.100000000000001" customHeight="1" x14ac:dyDescent="0.3">
      <c r="A9" s="118" t="s">
        <v>26</v>
      </c>
      <c r="B9" s="119"/>
      <c r="C9" s="40"/>
      <c r="D9" s="49">
        <v>21</v>
      </c>
      <c r="E9" s="50">
        <v>94</v>
      </c>
      <c r="F9" s="51">
        <f t="shared" si="0"/>
        <v>73</v>
      </c>
      <c r="G9" s="52">
        <f t="shared" si="1"/>
        <v>73</v>
      </c>
      <c r="H9" s="54"/>
      <c r="I9" s="46"/>
      <c r="J9" s="49">
        <f>ROUND(((F9-G4)/2)+D9,0)</f>
        <v>22</v>
      </c>
      <c r="K9" s="50">
        <v>94</v>
      </c>
      <c r="L9" s="51">
        <f t="shared" si="2"/>
        <v>72</v>
      </c>
      <c r="M9" s="52">
        <f t="shared" si="3"/>
        <v>145</v>
      </c>
      <c r="N9" s="45"/>
      <c r="O9" s="46"/>
      <c r="P9" s="49">
        <f>ROUND(((L9-M4)/2)+J9,0)</f>
        <v>23</v>
      </c>
      <c r="Q9" s="50">
        <v>90</v>
      </c>
      <c r="R9" s="51">
        <f t="shared" si="4"/>
        <v>67</v>
      </c>
      <c r="S9" s="52">
        <f t="shared" si="5"/>
        <v>212</v>
      </c>
      <c r="T9" s="47"/>
      <c r="U9" s="48"/>
      <c r="V9" s="49">
        <f>ROUND(((R9-Y4)/2)+P9,0)</f>
        <v>21</v>
      </c>
      <c r="W9" s="50">
        <v>94</v>
      </c>
      <c r="X9" s="51">
        <f t="shared" si="6"/>
        <v>73</v>
      </c>
      <c r="Y9" s="52">
        <f t="shared" si="7"/>
        <v>285</v>
      </c>
      <c r="Z9" s="18"/>
      <c r="AA9" s="17"/>
      <c r="AB9" s="16"/>
      <c r="AC9" s="4"/>
    </row>
    <row r="10" spans="1:29" ht="20.100000000000001" customHeight="1" x14ac:dyDescent="0.3">
      <c r="A10" s="118" t="s">
        <v>27</v>
      </c>
      <c r="B10" s="119"/>
      <c r="C10" s="40"/>
      <c r="D10" s="49">
        <v>18</v>
      </c>
      <c r="E10" s="50">
        <v>85</v>
      </c>
      <c r="F10" s="51">
        <f t="shared" si="0"/>
        <v>67</v>
      </c>
      <c r="G10" s="52">
        <f t="shared" si="1"/>
        <v>67</v>
      </c>
      <c r="H10" s="54"/>
      <c r="I10" s="46"/>
      <c r="J10" s="49">
        <f>ROUND(((F10-G4)/2)+D10,0)</f>
        <v>16</v>
      </c>
      <c r="K10" s="50">
        <v>86</v>
      </c>
      <c r="L10" s="51">
        <f t="shared" si="2"/>
        <v>70</v>
      </c>
      <c r="M10" s="52">
        <f t="shared" si="3"/>
        <v>137</v>
      </c>
      <c r="N10" s="45"/>
      <c r="O10" s="46"/>
      <c r="P10" s="49">
        <f>ROUND(((L10-M4)/2)+J10,0)</f>
        <v>16</v>
      </c>
      <c r="Q10" s="50">
        <v>90</v>
      </c>
      <c r="R10" s="51">
        <f t="shared" si="4"/>
        <v>74</v>
      </c>
      <c r="S10" s="52">
        <f t="shared" si="5"/>
        <v>211</v>
      </c>
      <c r="T10" s="47"/>
      <c r="U10" s="48"/>
      <c r="V10" s="49">
        <f>ROUND(((R10-Y4)/2)+P10,0)</f>
        <v>18</v>
      </c>
      <c r="W10" s="50">
        <v>92</v>
      </c>
      <c r="X10" s="51">
        <f t="shared" si="6"/>
        <v>74</v>
      </c>
      <c r="Y10" s="52">
        <f t="shared" si="7"/>
        <v>285</v>
      </c>
      <c r="Z10" s="18"/>
      <c r="AA10" s="17"/>
      <c r="AB10" s="16"/>
      <c r="AC10" s="4"/>
    </row>
    <row r="11" spans="1:29" ht="20.100000000000001" customHeight="1" x14ac:dyDescent="0.3">
      <c r="A11" s="118" t="s">
        <v>28</v>
      </c>
      <c r="B11" s="119"/>
      <c r="C11" s="40"/>
      <c r="D11" s="49">
        <v>15</v>
      </c>
      <c r="E11" s="50">
        <v>91</v>
      </c>
      <c r="F11" s="51">
        <f t="shared" si="0"/>
        <v>76</v>
      </c>
      <c r="G11" s="52">
        <f t="shared" si="1"/>
        <v>76</v>
      </c>
      <c r="H11" s="45"/>
      <c r="I11" s="46"/>
      <c r="J11" s="49">
        <f>ROUND(((F11-G4)/2)+D11,0)</f>
        <v>17</v>
      </c>
      <c r="K11" s="50">
        <v>95</v>
      </c>
      <c r="L11" s="51">
        <f t="shared" si="2"/>
        <v>78</v>
      </c>
      <c r="M11" s="52">
        <f t="shared" si="3"/>
        <v>154</v>
      </c>
      <c r="N11" s="45"/>
      <c r="O11" s="46"/>
      <c r="P11" s="49">
        <f>ROUND(((L11-M4)/2)+J11,0)</f>
        <v>21</v>
      </c>
      <c r="Q11" s="50">
        <v>222</v>
      </c>
      <c r="R11" s="51">
        <f t="shared" si="4"/>
        <v>201</v>
      </c>
      <c r="S11" s="52">
        <f t="shared" si="5"/>
        <v>355</v>
      </c>
      <c r="T11" s="47"/>
      <c r="U11" s="48"/>
      <c r="V11" s="49">
        <f>ROUND(((R11-Y4)/2)+P11,0)</f>
        <v>86</v>
      </c>
      <c r="W11" s="50">
        <v>222</v>
      </c>
      <c r="X11" s="51">
        <f t="shared" si="6"/>
        <v>136</v>
      </c>
      <c r="Y11" s="52">
        <f t="shared" si="7"/>
        <v>491</v>
      </c>
      <c r="Z11" s="18"/>
      <c r="AA11" s="17"/>
      <c r="AB11" s="16"/>
      <c r="AC11" s="4"/>
    </row>
    <row r="12" spans="1:29" ht="20.100000000000001" customHeight="1" x14ac:dyDescent="0.3">
      <c r="A12" s="118" t="s">
        <v>29</v>
      </c>
      <c r="B12" s="119"/>
      <c r="C12" s="40"/>
      <c r="D12" s="49">
        <v>14</v>
      </c>
      <c r="E12" s="50">
        <v>110</v>
      </c>
      <c r="F12" s="51">
        <f t="shared" si="0"/>
        <v>96</v>
      </c>
      <c r="G12" s="52">
        <f t="shared" si="1"/>
        <v>96</v>
      </c>
      <c r="H12" s="45"/>
      <c r="I12" s="46"/>
      <c r="J12" s="49">
        <f>ROUND(((F12-G4)/2)+D12,0)</f>
        <v>26</v>
      </c>
      <c r="K12" s="50">
        <v>93</v>
      </c>
      <c r="L12" s="51">
        <f t="shared" si="2"/>
        <v>67</v>
      </c>
      <c r="M12" s="52">
        <f t="shared" si="3"/>
        <v>163</v>
      </c>
      <c r="N12" s="45"/>
      <c r="O12" s="46"/>
      <c r="P12" s="49">
        <f>ROUND(((L12-M4)/2)+J12,0)</f>
        <v>24</v>
      </c>
      <c r="Q12" s="50">
        <v>94</v>
      </c>
      <c r="R12" s="51">
        <f t="shared" si="4"/>
        <v>70</v>
      </c>
      <c r="S12" s="52">
        <f t="shared" si="5"/>
        <v>233</v>
      </c>
      <c r="T12" s="47"/>
      <c r="U12" s="48"/>
      <c r="V12" s="49">
        <f>ROUND(((R12-Y4)/2)+P12,0)</f>
        <v>24</v>
      </c>
      <c r="W12" s="50">
        <v>108</v>
      </c>
      <c r="X12" s="51">
        <f t="shared" si="6"/>
        <v>84</v>
      </c>
      <c r="Y12" s="52">
        <f t="shared" si="7"/>
        <v>317</v>
      </c>
      <c r="Z12" s="18"/>
      <c r="AA12" s="17"/>
      <c r="AB12" s="16"/>
      <c r="AC12" s="4"/>
    </row>
    <row r="13" spans="1:29" ht="20.100000000000001" customHeight="1" x14ac:dyDescent="0.3">
      <c r="A13" s="118" t="s">
        <v>30</v>
      </c>
      <c r="B13" s="119"/>
      <c r="C13" s="40"/>
      <c r="D13" s="49">
        <v>1</v>
      </c>
      <c r="E13" s="50">
        <v>222</v>
      </c>
      <c r="F13" s="51">
        <f t="shared" si="0"/>
        <v>221</v>
      </c>
      <c r="G13" s="52">
        <f t="shared" si="1"/>
        <v>221</v>
      </c>
      <c r="H13" s="45"/>
      <c r="I13" s="46"/>
      <c r="J13" s="49">
        <f>ROUND(((F13-G4)/2)+D13,0)</f>
        <v>76</v>
      </c>
      <c r="K13" s="50">
        <v>222</v>
      </c>
      <c r="L13" s="51">
        <f t="shared" si="2"/>
        <v>146</v>
      </c>
      <c r="M13" s="52">
        <f t="shared" si="3"/>
        <v>367</v>
      </c>
      <c r="N13" s="45"/>
      <c r="O13" s="46"/>
      <c r="P13" s="49">
        <f>ROUND(((L13-M4)/2)+J13,0)</f>
        <v>114</v>
      </c>
      <c r="Q13" s="50">
        <v>222</v>
      </c>
      <c r="R13" s="51">
        <f t="shared" si="4"/>
        <v>108</v>
      </c>
      <c r="S13" s="52">
        <f t="shared" si="5"/>
        <v>475</v>
      </c>
      <c r="T13" s="47"/>
      <c r="U13" s="48"/>
      <c r="V13" s="49">
        <f>ROUND(((R13-Y4)/2)+P13,0)</f>
        <v>133</v>
      </c>
      <c r="W13" s="50">
        <v>222</v>
      </c>
      <c r="X13" s="51">
        <f t="shared" si="6"/>
        <v>89</v>
      </c>
      <c r="Y13" s="52">
        <f t="shared" si="7"/>
        <v>564</v>
      </c>
      <c r="Z13" s="18"/>
      <c r="AA13" s="17"/>
      <c r="AB13" s="16"/>
      <c r="AC13" s="4"/>
    </row>
    <row r="14" spans="1:29" ht="20.100000000000001" customHeight="1" x14ac:dyDescent="0.3">
      <c r="A14" s="118" t="s">
        <v>31</v>
      </c>
      <c r="B14" s="119"/>
      <c r="C14" s="40"/>
      <c r="D14" s="49">
        <v>1</v>
      </c>
      <c r="E14" s="50">
        <v>222</v>
      </c>
      <c r="F14" s="51">
        <f t="shared" si="0"/>
        <v>221</v>
      </c>
      <c r="G14" s="52">
        <f t="shared" si="1"/>
        <v>221</v>
      </c>
      <c r="H14" s="45"/>
      <c r="I14" s="46"/>
      <c r="J14" s="49">
        <f>ROUND(((F14-G4)/2)+D14,0)</f>
        <v>76</v>
      </c>
      <c r="K14" s="50">
        <v>222</v>
      </c>
      <c r="L14" s="51">
        <f t="shared" si="2"/>
        <v>146</v>
      </c>
      <c r="M14" s="52">
        <f t="shared" si="3"/>
        <v>367</v>
      </c>
      <c r="N14" s="45"/>
      <c r="O14" s="46"/>
      <c r="P14" s="49">
        <f>ROUND(((L14-M4)/2)+J14,0)</f>
        <v>114</v>
      </c>
      <c r="Q14" s="50">
        <v>222</v>
      </c>
      <c r="R14" s="51">
        <f t="shared" si="4"/>
        <v>108</v>
      </c>
      <c r="S14" s="52">
        <f t="shared" si="5"/>
        <v>475</v>
      </c>
      <c r="T14" s="47"/>
      <c r="U14" s="48"/>
      <c r="V14" s="49">
        <f>ROUND(((R14-Y4)/2)+P14,0)</f>
        <v>133</v>
      </c>
      <c r="W14" s="50">
        <v>222</v>
      </c>
      <c r="X14" s="51">
        <f t="shared" si="6"/>
        <v>89</v>
      </c>
      <c r="Y14" s="52">
        <f t="shared" si="7"/>
        <v>564</v>
      </c>
      <c r="Z14" s="18"/>
      <c r="AA14" s="17"/>
      <c r="AB14" s="16"/>
      <c r="AC14" s="4"/>
    </row>
    <row r="15" spans="1:29" ht="20.100000000000001" customHeight="1" x14ac:dyDescent="0.3">
      <c r="A15" s="118" t="s">
        <v>32</v>
      </c>
      <c r="B15" s="119"/>
      <c r="C15" s="40"/>
      <c r="D15" s="49">
        <v>1</v>
      </c>
      <c r="E15" s="50">
        <v>222</v>
      </c>
      <c r="F15" s="51">
        <f t="shared" si="0"/>
        <v>221</v>
      </c>
      <c r="G15" s="52">
        <f t="shared" si="1"/>
        <v>221</v>
      </c>
      <c r="H15" s="45"/>
      <c r="I15" s="46"/>
      <c r="J15" s="49">
        <f>ROUND(((F15-G4)/2)+D15,0)</f>
        <v>76</v>
      </c>
      <c r="K15" s="50">
        <v>222</v>
      </c>
      <c r="L15" s="51">
        <f t="shared" si="2"/>
        <v>146</v>
      </c>
      <c r="M15" s="52">
        <f t="shared" si="3"/>
        <v>367</v>
      </c>
      <c r="N15" s="45"/>
      <c r="O15" s="46"/>
      <c r="P15" s="49">
        <f>ROUND(((L15-M4)/2)+J15,0)</f>
        <v>114</v>
      </c>
      <c r="Q15" s="50">
        <v>222</v>
      </c>
      <c r="R15" s="51">
        <f t="shared" si="4"/>
        <v>108</v>
      </c>
      <c r="S15" s="52">
        <f t="shared" si="5"/>
        <v>475</v>
      </c>
      <c r="T15" s="47"/>
      <c r="U15" s="48"/>
      <c r="V15" s="49">
        <f>ROUND(((R15-Y4)/2)+P15,0)</f>
        <v>133</v>
      </c>
      <c r="W15" s="50">
        <v>222</v>
      </c>
      <c r="X15" s="51">
        <f t="shared" si="6"/>
        <v>89</v>
      </c>
      <c r="Y15" s="52">
        <f t="shared" si="7"/>
        <v>564</v>
      </c>
      <c r="Z15" s="18"/>
      <c r="AA15" s="17"/>
      <c r="AB15" s="16"/>
      <c r="AC15" s="4"/>
    </row>
    <row r="16" spans="1:29" ht="20.100000000000001" customHeight="1" x14ac:dyDescent="0.3">
      <c r="A16" s="118" t="s">
        <v>33</v>
      </c>
      <c r="B16" s="119"/>
      <c r="C16" s="40"/>
      <c r="D16" s="55">
        <v>1</v>
      </c>
      <c r="E16" s="50">
        <v>222</v>
      </c>
      <c r="F16" s="51">
        <f t="shared" si="0"/>
        <v>221</v>
      </c>
      <c r="G16" s="52">
        <f t="shared" si="1"/>
        <v>221</v>
      </c>
      <c r="H16" s="45"/>
      <c r="I16" s="46"/>
      <c r="J16" s="49">
        <f>ROUND(((F16-G4)/2)+D16,0)</f>
        <v>76</v>
      </c>
      <c r="K16" s="50">
        <v>222</v>
      </c>
      <c r="L16" s="51">
        <f t="shared" si="2"/>
        <v>146</v>
      </c>
      <c r="M16" s="52">
        <f t="shared" si="3"/>
        <v>367</v>
      </c>
      <c r="N16" s="45"/>
      <c r="O16" s="46"/>
      <c r="P16" s="49">
        <f>ROUND(((L16-M4)/2)+J16,0)</f>
        <v>114</v>
      </c>
      <c r="Q16" s="50">
        <v>222</v>
      </c>
      <c r="R16" s="51">
        <f t="shared" si="4"/>
        <v>108</v>
      </c>
      <c r="S16" s="52">
        <f t="shared" si="5"/>
        <v>475</v>
      </c>
      <c r="T16" s="47"/>
      <c r="U16" s="48"/>
      <c r="V16" s="49">
        <f>ROUND(((R16-Y4)/2)+P16,0)</f>
        <v>133</v>
      </c>
      <c r="W16" s="50">
        <v>222</v>
      </c>
      <c r="X16" s="51">
        <f t="shared" si="6"/>
        <v>89</v>
      </c>
      <c r="Y16" s="52">
        <f t="shared" si="7"/>
        <v>564</v>
      </c>
      <c r="Z16" s="18"/>
      <c r="AA16" s="17"/>
      <c r="AB16" s="16"/>
      <c r="AC16" s="4"/>
    </row>
    <row r="17" spans="1:38" ht="20.100000000000001" customHeight="1" x14ac:dyDescent="0.3">
      <c r="A17" s="120" t="s">
        <v>34</v>
      </c>
      <c r="B17" s="121"/>
      <c r="C17" s="40"/>
      <c r="D17" s="56">
        <v>1</v>
      </c>
      <c r="E17" s="57">
        <v>222</v>
      </c>
      <c r="F17" s="58">
        <f t="shared" si="0"/>
        <v>221</v>
      </c>
      <c r="G17" s="59">
        <f t="shared" si="1"/>
        <v>221</v>
      </c>
      <c r="H17" s="45"/>
      <c r="I17" s="46"/>
      <c r="J17" s="56">
        <f>ROUND(((F17-G4)/2)+D17,0)</f>
        <v>76</v>
      </c>
      <c r="K17" s="57">
        <v>222</v>
      </c>
      <c r="L17" s="58">
        <f t="shared" si="2"/>
        <v>146</v>
      </c>
      <c r="M17" s="59">
        <f t="shared" si="3"/>
        <v>367</v>
      </c>
      <c r="N17" s="45"/>
      <c r="O17" s="46"/>
      <c r="P17" s="56">
        <f>ROUND(((L17-M4)/2)+J17,0)</f>
        <v>114</v>
      </c>
      <c r="Q17" s="57">
        <v>222</v>
      </c>
      <c r="R17" s="58">
        <f t="shared" si="4"/>
        <v>108</v>
      </c>
      <c r="S17" s="59">
        <f t="shared" si="5"/>
        <v>475</v>
      </c>
      <c r="T17" s="47"/>
      <c r="U17" s="48"/>
      <c r="V17" s="56">
        <f>ROUND(((R17-Y4)/2)+P17,0)</f>
        <v>133</v>
      </c>
      <c r="W17" s="57">
        <v>222</v>
      </c>
      <c r="X17" s="58">
        <f t="shared" si="6"/>
        <v>89</v>
      </c>
      <c r="Y17" s="59">
        <f t="shared" si="7"/>
        <v>564</v>
      </c>
      <c r="Z17" s="18"/>
      <c r="AA17" s="17"/>
      <c r="AB17" s="16"/>
      <c r="AC17" s="4"/>
    </row>
    <row r="18" spans="1:38" s="8" customFormat="1" ht="20.100000000000001" customHeight="1" x14ac:dyDescent="0.25">
      <c r="D18" s="32"/>
      <c r="E18" s="32"/>
      <c r="F18" s="33"/>
      <c r="G18" s="33"/>
      <c r="H18" s="33"/>
      <c r="I18" s="32"/>
      <c r="J18" s="32"/>
      <c r="K18" s="32"/>
      <c r="L18" s="33"/>
      <c r="M18" s="33"/>
      <c r="N18" s="33"/>
      <c r="O18" s="32"/>
      <c r="P18" s="32"/>
      <c r="Q18" s="32"/>
      <c r="R18" s="33"/>
      <c r="S18" s="33"/>
      <c r="T18" s="33"/>
      <c r="U18" s="32"/>
      <c r="V18" s="32"/>
      <c r="W18" s="32"/>
      <c r="X18" s="33"/>
      <c r="Y18" s="33"/>
      <c r="Z18" s="33"/>
      <c r="AA18" s="32"/>
      <c r="AB18" s="32"/>
      <c r="AC18" s="32"/>
      <c r="AD18" s="33"/>
      <c r="AE18" s="33"/>
      <c r="AF18" s="33"/>
      <c r="AG18" s="7"/>
      <c r="AH18" s="7"/>
      <c r="AI18" s="7"/>
      <c r="AJ18" s="7"/>
      <c r="AK18" s="7"/>
      <c r="AL18" s="7"/>
    </row>
    <row r="19" spans="1:38" ht="22.8" x14ac:dyDescent="0.4">
      <c r="C19" s="122" t="s">
        <v>35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4"/>
    </row>
    <row r="20" spans="1:38" ht="20.100000000000001" customHeight="1" x14ac:dyDescent="0.3">
      <c r="C20" s="113" t="str">
        <f>T(D1)</f>
        <v>Panthers Run</v>
      </c>
      <c r="D20" s="114"/>
      <c r="E20" s="114"/>
      <c r="F20" s="114"/>
      <c r="G20" s="114"/>
      <c r="H20" s="115"/>
      <c r="I20" s="113" t="str">
        <f>T(J1)</f>
        <v>Heritage</v>
      </c>
      <c r="J20" s="114"/>
      <c r="K20" s="114"/>
      <c r="L20" s="114"/>
      <c r="M20" s="114"/>
      <c r="N20" s="115"/>
      <c r="O20" s="113" t="str">
        <f>T(P1)</f>
        <v>Parkland</v>
      </c>
      <c r="P20" s="114"/>
      <c r="Q20" s="114"/>
      <c r="R20" s="114"/>
      <c r="S20" s="114"/>
      <c r="T20" s="115"/>
      <c r="U20" s="113" t="str">
        <f>T(V1)</f>
        <v>Oyster Bay</v>
      </c>
      <c r="V20" s="114"/>
      <c r="W20" s="114"/>
      <c r="X20" s="114"/>
      <c r="Y20" s="114"/>
      <c r="Z20" s="115"/>
    </row>
    <row r="21" spans="1:38" ht="20.100000000000001" customHeight="1" x14ac:dyDescent="0.3">
      <c r="B21" s="6" t="s">
        <v>36</v>
      </c>
      <c r="C21" s="116" t="s">
        <v>37</v>
      </c>
      <c r="D21" s="117"/>
      <c r="E21" s="117"/>
      <c r="F21" s="9" t="s">
        <v>44</v>
      </c>
      <c r="G21" s="12" t="s">
        <v>41</v>
      </c>
      <c r="H21" s="11" t="s">
        <v>38</v>
      </c>
      <c r="I21" s="116" t="s">
        <v>39</v>
      </c>
      <c r="J21" s="117"/>
      <c r="K21" s="117"/>
      <c r="L21" s="9" t="s">
        <v>44</v>
      </c>
      <c r="M21" s="12" t="s">
        <v>41</v>
      </c>
      <c r="N21" s="10" t="s">
        <v>42</v>
      </c>
      <c r="O21" s="116" t="s">
        <v>40</v>
      </c>
      <c r="P21" s="117"/>
      <c r="Q21" s="117"/>
      <c r="R21" s="9" t="s">
        <v>44</v>
      </c>
      <c r="S21" s="12" t="s">
        <v>41</v>
      </c>
      <c r="T21" s="10" t="s">
        <v>42</v>
      </c>
      <c r="U21" s="116" t="s">
        <v>43</v>
      </c>
      <c r="V21" s="117"/>
      <c r="W21" s="117"/>
      <c r="X21" s="9" t="s">
        <v>44</v>
      </c>
      <c r="Y21" s="11" t="s">
        <v>45</v>
      </c>
      <c r="Z21" s="15" t="s">
        <v>46</v>
      </c>
    </row>
    <row r="22" spans="1:38" ht="20.100000000000001" customHeight="1" x14ac:dyDescent="0.3">
      <c r="B22" s="13">
        <v>1</v>
      </c>
      <c r="C22" s="96" t="str">
        <f>IF(SUM(E$6:E$17)=0," ",IF(G$6=G22,$A$6,)&amp;IF(G$7=G22,$A$7,)&amp;IF(G$8=G22,$A$8,)&amp;IF(G$9=G22,$A$9,)&amp;IF(G$10=G22,$A$10,)&amp;IF(G$11=G22,$A$11,)&amp;IF(G$12=G22,$A$12,)&amp;IF(G$13=G22,$A$13,)&amp;IF(G$14=G22,$A$14,)&amp;IF(G$15=G22,$A$15,)&amp;IF(G$16=G22,$A$16,)&amp;IF(G$17=G22,$A$17,))</f>
        <v>George -</v>
      </c>
      <c r="D22" s="97"/>
      <c r="E22" s="112"/>
      <c r="F22" s="76" t="str">
        <f t="shared" ref="F22:F33" si="8">IF(SUM(E$6:E$17)=0," ",IF(G$6=G22,F$6,)&amp;IF(G$7=G22,F$7,)&amp;IF(G$8=G22,F$8,)&amp;IF(G$9=G22,F$9,)&amp;IF(G$10=G22,F$10,)&amp;IF(G$11=G22,F$11,)&amp;IF(G$12=G22,F$12,)&amp;IF(G$13=G22,F$13,)&amp;IF(G$14=G22,F$14,)&amp;IF(G$15=G22,F$15,)&amp;IF(G$16=G22,F$16,)&amp;IF(G$17=G22,F$17,))</f>
        <v>66</v>
      </c>
      <c r="G22" s="76">
        <f>IF(SUM(E$6:E$17)=0," ",SMALL(G$6:G$17,1))</f>
        <v>66</v>
      </c>
      <c r="H22" s="77">
        <f t="shared" ref="H22:H33" si="9">IF(SUM(E$6:E$17)=0," ",G22-G$22)</f>
        <v>0</v>
      </c>
      <c r="I22" s="96" t="str">
        <f t="shared" ref="I22:I33" si="10">IF(SUM(K$6:K$17)=0," ",IF(M$6=M22,$A$6,)&amp;IF(M$7=M22,$A$7,)&amp;IF(M$8=M22,$A$8,)&amp;IF(M$9=M22,$A$9,)&amp;IF(M$10=M22,$A$10,)&amp;IF(M$11=M22,$A$11,)&amp;IF(M$12=M22,$A$12,)&amp;IF(M$13=M22,$A$13,)&amp;IF(M$14=M22,$A$14,)&amp;IF(M$15=M22,$A$15,)&amp;IF(M$16=M22,$A$16,)&amp;IF(M$17=M22,$A$17,))</f>
        <v>George -Bill S -</v>
      </c>
      <c r="J22" s="97"/>
      <c r="K22" s="97"/>
      <c r="L22" s="76" t="str">
        <f t="shared" ref="L22:L33" si="11">IF(SUM(K$6:K$17)=0," ",IF(M$6=M22,L$6,)&amp;IF(M$7=M22,L$7,)&amp;IF(M$8=M22,L$8,)&amp;IF(M$9=M22,L$9,)&amp;IF(M$10=M22,L$10,)&amp;IF(M$11=M22,L$11,)&amp;IF(M$12=M22,L$12,)&amp;IF(M$13=M22,L$13,)&amp;IF(M$14=M22,L$14,)&amp;IF(M$15=M22,L$15,)&amp;IF(M$16=M22,L$16,)&amp;IF(M$17=M22,L$17,))</f>
        <v>7170</v>
      </c>
      <c r="M22" s="76">
        <f>IF(SUM(K$6:K$17)=0," ",SMALL(M$6:M$17,1))</f>
        <v>137</v>
      </c>
      <c r="N22" s="78">
        <f t="shared" ref="N22:N33" si="12">IF(SUM(K$6:K$17)=0," ",M22-M$22)</f>
        <v>0</v>
      </c>
      <c r="O22" s="96" t="str">
        <f t="shared" ref="O22:O33" si="13">IF(SUM(Q$6:Q$17)=0," ",IF(S$6=S22,$A$6,)&amp;IF(S$7=S22,$A$7,)&amp;IF(S$8=S22,$A$8,)&amp;IF(S$9=S22,$A$9,)&amp;IF(S$10=S22,$A$10,)&amp;IF(S$11=S22,$A$11,)&amp;IF(S$12=S22,$A$12,)&amp;IF(S$13=S22,$A$13,)&amp;IF(S$14=S22,$A$14,)&amp;IF(S$15=S22,$A$15,)&amp;IF(S$16=S22,$A$16,)&amp;IF(S$17=S22,$A$17,))</f>
        <v>George -Bill S -</v>
      </c>
      <c r="P22" s="97"/>
      <c r="Q22" s="97"/>
      <c r="R22" s="76" t="str">
        <f t="shared" ref="R22:R33" si="14">IF(SUM(Q$6:Q$17)=0," ",IF(S$6=S22,R$6,)&amp;IF(S$7=S22,R$7,)&amp;IF(S$8=S22,R$8,)&amp;IF(S$9=S22,R$9,)&amp;IF(S$10=S22,R$10,)&amp;IF(S$11=S22,R$11,)&amp;IF(S$12=S22,R$12,)&amp;IF(S$13=S22,R$13,)&amp;IF(S$14=S22,R$14,)&amp;IF(S$15=S22,R$15,)&amp;IF(S$16=S22,R$16,)&amp;IF(S$17=S22,R$17,))</f>
        <v>7474</v>
      </c>
      <c r="S22" s="76">
        <f>IF(Q6+Q7+Q8+Q9+Q10+Q11+Q12+Q13+Q14+Q15+Q16+Q17=0," ",SMALL(S6:S17,1))</f>
        <v>211</v>
      </c>
      <c r="T22" s="78">
        <f t="shared" ref="T22:T33" si="15">IF(SUM(Q$6:Q$17)=0," ",S22-S$22)</f>
        <v>0</v>
      </c>
      <c r="U22" s="96" t="str">
        <f t="shared" ref="U22:U33" si="16">IF(SUM(W$6:W$17)=0," ",IF(Y$6=Y22,$A$6,)&amp;IF(Y$7=Y22,$A$7,)&amp;IF(Y$8=Y22,$A$8,)&amp;IF(Y$9=Y22,$A$9,)&amp;IF(Y$10=Y22,$A$10,)&amp;IF(Y$11=Y22,$A$11,)&amp;IF(Y$12=Y22,$A$12,)&amp;IF(Y$13=Y22,$A$13,)&amp;IF(Y$14=Y22,$A$14,)&amp;IF(Y$15=Y22,$A$15,)&amp;IF(Y$16=Y22,$A$16,)&amp;IF(Y$17=Y22,$A$17,))</f>
        <v>George -</v>
      </c>
      <c r="V22" s="97"/>
      <c r="W22" s="97"/>
      <c r="X22" s="76" t="str">
        <f t="shared" ref="X22:X33" si="17">IF(SUM(W$6:W$17)=0," ",IF(Y$6=Y22,X$6,)&amp;IF(Y$7=Y22,X$7,)&amp;IF(Y$8=Y22,X$8,)&amp;IF(Y$9=Y22,X$9,)&amp;IF(Y$10=Y22,X$10,)&amp;IF(Y$11=Y22,X$11,)&amp;IF(Y$12=Y22,X$12,)&amp;IF(Y$13=Y22,X$13,)&amp;IF(Y$14=Y22,X$14,)&amp;IF(Y$15=Y22,X$15,)&amp;IF(Y$16=Y22,X$16,)&amp;IF(Y$17=Y22,X$17,))</f>
        <v>70</v>
      </c>
      <c r="Y22" s="76">
        <f>IF(W6+W7+W8+W9+W10+W11+W12+W13+W14+W15+W16+W17=0," ",SMALL(Y6:Y17,1))</f>
        <v>281</v>
      </c>
      <c r="Z22" s="79">
        <f t="shared" ref="Z22:Z33" si="18">IF(SUM(W$6:W$17)=0," ",Y22-Y$22)</f>
        <v>0</v>
      </c>
    </row>
    <row r="23" spans="1:38" ht="20.100000000000001" customHeight="1" x14ac:dyDescent="0.3">
      <c r="B23" s="34">
        <v>2</v>
      </c>
      <c r="C23" s="107" t="str">
        <f t="shared" ref="C23:C33" si="19">IF(SUM(E$6:E$17)=0," ",IF(G$6=G23,A$6,)&amp;IF(G$7=G23,A$7,)&amp;IF(G$8=G23,A$8,)&amp;IF(G$9=G23,A$9,)&amp;IF(G$10=G23,A$10,)&amp;IF(G$11=G23,A$11,)&amp;IF(G$12=G23,A$12,)&amp;IF(G$13=G23,A$13,)&amp;IF(G$14=G23,A$14,)&amp;IF(G$15=G23,A$15,)&amp;IF(G$16=G23,A$16,)&amp;IF(G$17=G23,A$17,))</f>
        <v>Bill S -</v>
      </c>
      <c r="D23" s="108"/>
      <c r="E23" s="109"/>
      <c r="F23" s="80" t="str">
        <f t="shared" si="8"/>
        <v>67</v>
      </c>
      <c r="G23" s="81">
        <f>IF(SUM(E$6:E$17)=0," ",SMALL(G$6:G$17,2))</f>
        <v>67</v>
      </c>
      <c r="H23" s="82">
        <f t="shared" si="9"/>
        <v>1</v>
      </c>
      <c r="I23" s="110" t="str">
        <f t="shared" si="10"/>
        <v>George -Bill S -</v>
      </c>
      <c r="J23" s="111"/>
      <c r="K23" s="111"/>
      <c r="L23" s="80" t="str">
        <f t="shared" si="11"/>
        <v>7170</v>
      </c>
      <c r="M23" s="81">
        <f>IF(SUM(K$6:K$17)=0," ",SMALL(M$6:M$17,2))</f>
        <v>137</v>
      </c>
      <c r="N23" s="83">
        <f t="shared" si="12"/>
        <v>0</v>
      </c>
      <c r="O23" s="110" t="str">
        <f t="shared" si="13"/>
        <v>George -Bill S -</v>
      </c>
      <c r="P23" s="111"/>
      <c r="Q23" s="111"/>
      <c r="R23" s="80" t="str">
        <f t="shared" si="14"/>
        <v>7474</v>
      </c>
      <c r="S23" s="81">
        <f>IF(Q6+Q7+Q8+Q9+Q10+Q11+Q12+Q13+Q14+Q15+Q16+Q17=0," ",SMALL(S6:S17,2))</f>
        <v>211</v>
      </c>
      <c r="T23" s="83">
        <f t="shared" si="15"/>
        <v>0</v>
      </c>
      <c r="U23" s="110" t="str">
        <f t="shared" si="16"/>
        <v>John P -Bill S -</v>
      </c>
      <c r="V23" s="111"/>
      <c r="W23" s="111"/>
      <c r="X23" s="80" t="str">
        <f t="shared" si="17"/>
        <v>7374</v>
      </c>
      <c r="Y23" s="81">
        <f>IF(W6+W7+W8+W9+W10+W11+W12+W13+W14+W15+W16+W17=0," ",SMALL(Y6:Y17,2))</f>
        <v>285</v>
      </c>
      <c r="Z23" s="83">
        <f t="shared" si="18"/>
        <v>4</v>
      </c>
    </row>
    <row r="24" spans="1:38" ht="20.100000000000001" customHeight="1" x14ac:dyDescent="0.3">
      <c r="B24" s="14">
        <v>3</v>
      </c>
      <c r="C24" s="104" t="str">
        <f t="shared" si="19"/>
        <v>John P -</v>
      </c>
      <c r="D24" s="105"/>
      <c r="E24" s="106"/>
      <c r="F24" s="84" t="str">
        <f t="shared" si="8"/>
        <v>73</v>
      </c>
      <c r="G24" s="85">
        <f>IF(SUM(E$6:E$17)=0," ",SMALL(G$6:G$17,3))</f>
        <v>73</v>
      </c>
      <c r="H24" s="77">
        <f t="shared" si="9"/>
        <v>7</v>
      </c>
      <c r="I24" s="96" t="str">
        <f t="shared" si="10"/>
        <v>John P -</v>
      </c>
      <c r="J24" s="97"/>
      <c r="K24" s="97"/>
      <c r="L24" s="84" t="str">
        <f t="shared" si="11"/>
        <v>72</v>
      </c>
      <c r="M24" s="85">
        <f>IF(SUM(K$6:K$17)=0," ",SMALL(M$6:M$17,3))</f>
        <v>145</v>
      </c>
      <c r="N24" s="78">
        <f t="shared" si="12"/>
        <v>8</v>
      </c>
      <c r="O24" s="96" t="str">
        <f t="shared" si="13"/>
        <v>John P -</v>
      </c>
      <c r="P24" s="97"/>
      <c r="Q24" s="97"/>
      <c r="R24" s="84" t="str">
        <f t="shared" si="14"/>
        <v>67</v>
      </c>
      <c r="S24" s="85">
        <f>IF(Q6+Q7+Q8+Q9+Q10+Q11+Q12+Q13+Q14+Q15+Q16+Q17=0," ",SMALL(S6:S17,3))</f>
        <v>212</v>
      </c>
      <c r="T24" s="78">
        <f t="shared" si="15"/>
        <v>1</v>
      </c>
      <c r="U24" s="96" t="str">
        <f t="shared" si="16"/>
        <v>John P -Bill S -</v>
      </c>
      <c r="V24" s="97"/>
      <c r="W24" s="97"/>
      <c r="X24" s="84" t="str">
        <f t="shared" si="17"/>
        <v>7374</v>
      </c>
      <c r="Y24" s="85">
        <f>IF(W6+W7+W8+W9+W10+W11+W12+W13+W14+W15+W16+W17=0," ",SMALL(Y6:Y17,3))</f>
        <v>285</v>
      </c>
      <c r="Z24" s="86">
        <f t="shared" si="18"/>
        <v>4</v>
      </c>
    </row>
    <row r="25" spans="1:38" ht="20.100000000000001" customHeight="1" x14ac:dyDescent="0.3">
      <c r="B25" s="34">
        <v>4</v>
      </c>
      <c r="C25" s="107" t="str">
        <f t="shared" si="19"/>
        <v>Roger -</v>
      </c>
      <c r="D25" s="108"/>
      <c r="E25" s="109"/>
      <c r="F25" s="80" t="str">
        <f t="shared" si="8"/>
        <v>76</v>
      </c>
      <c r="G25" s="81">
        <f>IF(SUM(E$6:E$17)=0," ",SMALL(G$6:G$17,4))</f>
        <v>76</v>
      </c>
      <c r="H25" s="82">
        <f t="shared" si="9"/>
        <v>10</v>
      </c>
      <c r="I25" s="110" t="str">
        <f t="shared" si="10"/>
        <v>Roger -</v>
      </c>
      <c r="J25" s="111"/>
      <c r="K25" s="111"/>
      <c r="L25" s="80" t="str">
        <f t="shared" si="11"/>
        <v>78</v>
      </c>
      <c r="M25" s="81">
        <f>IF(SUM(K$6:K$17)=0," ",SMALL(M$6:M$17,4))</f>
        <v>154</v>
      </c>
      <c r="N25" s="83">
        <f t="shared" si="12"/>
        <v>17</v>
      </c>
      <c r="O25" s="110" t="str">
        <f t="shared" si="13"/>
        <v>Tom B -</v>
      </c>
      <c r="P25" s="111"/>
      <c r="Q25" s="111"/>
      <c r="R25" s="80" t="str">
        <f t="shared" si="14"/>
        <v>69</v>
      </c>
      <c r="S25" s="81">
        <f>IF(Q6+Q7+Q8+Q9+Q10+Q11+Q12+Q13+Q14+Q15+Q16+Q17=0," ",SMALL(S6:S17,4))</f>
        <v>229</v>
      </c>
      <c r="T25" s="83">
        <f t="shared" si="15"/>
        <v>18</v>
      </c>
      <c r="U25" s="110" t="str">
        <f t="shared" si="16"/>
        <v>Nick -</v>
      </c>
      <c r="V25" s="111"/>
      <c r="W25" s="111"/>
      <c r="X25" s="80" t="str">
        <f t="shared" si="17"/>
        <v>65</v>
      </c>
      <c r="Y25" s="81">
        <f>IF(W6+W7+W8+W9+W10+W11+W12+W13+W14+W15+W16+W17=0," ",SMALL(Y6:Y17,4))</f>
        <v>295</v>
      </c>
      <c r="Z25" s="83">
        <f t="shared" si="18"/>
        <v>14</v>
      </c>
    </row>
    <row r="26" spans="1:38" ht="20.100000000000001" customHeight="1" x14ac:dyDescent="0.3">
      <c r="B26" s="14">
        <v>5</v>
      </c>
      <c r="C26" s="104" t="str">
        <f t="shared" si="19"/>
        <v>Tom B -</v>
      </c>
      <c r="D26" s="105"/>
      <c r="E26" s="106"/>
      <c r="F26" s="84" t="str">
        <f t="shared" si="8"/>
        <v>82</v>
      </c>
      <c r="G26" s="85">
        <f>IF(SUM(E$6:E$17)=0," ",SMALL(G$6:G$17,5))</f>
        <v>82</v>
      </c>
      <c r="H26" s="77">
        <f t="shared" si="9"/>
        <v>16</v>
      </c>
      <c r="I26" s="96" t="str">
        <f t="shared" si="10"/>
        <v>Tom B -</v>
      </c>
      <c r="J26" s="97"/>
      <c r="K26" s="97"/>
      <c r="L26" s="84" t="str">
        <f t="shared" si="11"/>
        <v>78</v>
      </c>
      <c r="M26" s="85">
        <f>IF(SUM(K$6:K$17)=0," ",SMALL(M$6:M$17,5))</f>
        <v>160</v>
      </c>
      <c r="N26" s="78">
        <f t="shared" si="12"/>
        <v>23</v>
      </c>
      <c r="O26" s="96" t="str">
        <f t="shared" si="13"/>
        <v>Nick -</v>
      </c>
      <c r="P26" s="97"/>
      <c r="Q26" s="97"/>
      <c r="R26" s="84" t="str">
        <f t="shared" si="14"/>
        <v>67</v>
      </c>
      <c r="S26" s="85">
        <f>IF(Q6+Q7+Q8+Q9+Q10+Q11+Q12+Q13+Q14+Q15+Q16+Q17=0," ",SMALL(S6:S17,5))</f>
        <v>230</v>
      </c>
      <c r="T26" s="78">
        <f t="shared" si="15"/>
        <v>19</v>
      </c>
      <c r="U26" s="96" t="str">
        <f t="shared" si="16"/>
        <v>Tom B -</v>
      </c>
      <c r="V26" s="97"/>
      <c r="W26" s="97"/>
      <c r="X26" s="84" t="str">
        <f t="shared" si="17"/>
        <v>76</v>
      </c>
      <c r="Y26" s="85">
        <f>IF(W6+W7+W8+W9+W10+W11+W12+W13+W14+W15+W16+W17=0," ",SMALL(Y6:Y17,5))</f>
        <v>305</v>
      </c>
      <c r="Z26" s="86">
        <f t="shared" si="18"/>
        <v>24</v>
      </c>
    </row>
    <row r="27" spans="1:38" ht="20.100000000000001" customHeight="1" x14ac:dyDescent="0.3">
      <c r="B27" s="34">
        <v>6</v>
      </c>
      <c r="C27" s="107" t="str">
        <f t="shared" si="19"/>
        <v>Nick -</v>
      </c>
      <c r="D27" s="108"/>
      <c r="E27" s="109"/>
      <c r="F27" s="80" t="str">
        <f t="shared" si="8"/>
        <v>85</v>
      </c>
      <c r="G27" s="81">
        <f>IF(SUM(E$6:E$17)=0," ",SMALL(G$6:G$17,6))</f>
        <v>85</v>
      </c>
      <c r="H27" s="82">
        <f t="shared" si="9"/>
        <v>19</v>
      </c>
      <c r="I27" s="110" t="str">
        <f t="shared" si="10"/>
        <v>Nick -Joe -</v>
      </c>
      <c r="J27" s="111"/>
      <c r="K27" s="111"/>
      <c r="L27" s="80" t="str">
        <f t="shared" si="11"/>
        <v>7867</v>
      </c>
      <c r="M27" s="81">
        <f>IF(SUM(K$6:K$17)=0," ",SMALL(M$6:M$17,6))</f>
        <v>163</v>
      </c>
      <c r="N27" s="83">
        <f t="shared" si="12"/>
        <v>26</v>
      </c>
      <c r="O27" s="110" t="str">
        <f t="shared" si="13"/>
        <v>Joe -</v>
      </c>
      <c r="P27" s="111"/>
      <c r="Q27" s="111"/>
      <c r="R27" s="80" t="str">
        <f t="shared" si="14"/>
        <v>70</v>
      </c>
      <c r="S27" s="81">
        <f>IF(Q6+Q7+Q8+Q9+Q10+Q11+Q12+Q13+Q14+Q15+Q16+Q17=0," ",SMALL(S6:S17,6))</f>
        <v>233</v>
      </c>
      <c r="T27" s="83">
        <f t="shared" si="15"/>
        <v>22</v>
      </c>
      <c r="U27" s="110" t="str">
        <f t="shared" si="16"/>
        <v>Joe -</v>
      </c>
      <c r="V27" s="111"/>
      <c r="W27" s="111"/>
      <c r="X27" s="80" t="str">
        <f t="shared" si="17"/>
        <v>84</v>
      </c>
      <c r="Y27" s="81">
        <f>IF(W6+W7+W8+W9+W10+W11+W12+W13+W14+W15+W16+W17=0," ",SMALL(Y6:Y17,6))</f>
        <v>317</v>
      </c>
      <c r="Z27" s="83">
        <f t="shared" si="18"/>
        <v>36</v>
      </c>
    </row>
    <row r="28" spans="1:38" ht="20.100000000000001" customHeight="1" x14ac:dyDescent="0.3">
      <c r="B28" s="5">
        <v>7</v>
      </c>
      <c r="C28" s="104" t="str">
        <f t="shared" si="19"/>
        <v>Joe -</v>
      </c>
      <c r="D28" s="105"/>
      <c r="E28" s="106"/>
      <c r="F28" s="84" t="str">
        <f t="shared" si="8"/>
        <v>96</v>
      </c>
      <c r="G28" s="85">
        <f>IF(SUM(E$6:E$17)=0," ",SMALL(G$6:G$17,7))</f>
        <v>96</v>
      </c>
      <c r="H28" s="77">
        <f t="shared" si="9"/>
        <v>30</v>
      </c>
      <c r="I28" s="96" t="str">
        <f t="shared" si="10"/>
        <v>Nick -Joe -</v>
      </c>
      <c r="J28" s="97"/>
      <c r="K28" s="97"/>
      <c r="L28" s="84" t="str">
        <f t="shared" si="11"/>
        <v>7867</v>
      </c>
      <c r="M28" s="85">
        <f>IF(SUM(K$6:K$17)=0," ",SMALL(M$6:M$17,7))</f>
        <v>163</v>
      </c>
      <c r="N28" s="78">
        <f t="shared" si="12"/>
        <v>26</v>
      </c>
      <c r="O28" s="96" t="str">
        <f t="shared" si="13"/>
        <v>Roger -</v>
      </c>
      <c r="P28" s="97"/>
      <c r="Q28" s="97"/>
      <c r="R28" s="84" t="str">
        <f t="shared" si="14"/>
        <v>201</v>
      </c>
      <c r="S28" s="85">
        <f>IF(Q6+Q7+Q8+Q9+Q10+Q11+Q12+Q13+Q14+Q15+Q16+Q17=0," ",SMALL(S6:S17,7))</f>
        <v>355</v>
      </c>
      <c r="T28" s="78">
        <f t="shared" si="15"/>
        <v>144</v>
      </c>
      <c r="U28" s="96" t="str">
        <f t="shared" si="16"/>
        <v>Roger -</v>
      </c>
      <c r="V28" s="97"/>
      <c r="W28" s="97"/>
      <c r="X28" s="84" t="str">
        <f t="shared" si="17"/>
        <v>136</v>
      </c>
      <c r="Y28" s="85">
        <f>IF(W6+W7+W8+W9+W10+W11+W12+W13+W14+W15+W16+W17=0," ",SMALL(Y6:Y17,7))</f>
        <v>491</v>
      </c>
      <c r="Z28" s="86">
        <f t="shared" si="18"/>
        <v>210</v>
      </c>
    </row>
    <row r="29" spans="1:38" ht="20.100000000000001" customHeight="1" x14ac:dyDescent="0.3">
      <c r="B29" s="34">
        <v>8</v>
      </c>
      <c r="C29" s="107" t="str">
        <f t="shared" si="19"/>
        <v>~~~~~</v>
      </c>
      <c r="D29" s="108"/>
      <c r="E29" s="109"/>
      <c r="F29" s="80" t="str">
        <f t="shared" si="8"/>
        <v>221221221221221</v>
      </c>
      <c r="G29" s="81">
        <f>IF(SUM(E$6:E$17)=0," ",SMALL(G$6:G$17,8))</f>
        <v>221</v>
      </c>
      <c r="H29" s="82">
        <f t="shared" si="9"/>
        <v>155</v>
      </c>
      <c r="I29" s="110" t="str">
        <f t="shared" si="10"/>
        <v>~~~~~</v>
      </c>
      <c r="J29" s="111"/>
      <c r="K29" s="111"/>
      <c r="L29" s="80" t="str">
        <f t="shared" si="11"/>
        <v>146146146146146</v>
      </c>
      <c r="M29" s="81">
        <f>IF(SUM(K$6:K$17)=0," ",SMALL(M$6:M$17,8))</f>
        <v>367</v>
      </c>
      <c r="N29" s="83">
        <f t="shared" si="12"/>
        <v>230</v>
      </c>
      <c r="O29" s="110" t="str">
        <f t="shared" si="13"/>
        <v>~~~~~</v>
      </c>
      <c r="P29" s="111"/>
      <c r="Q29" s="111"/>
      <c r="R29" s="80" t="str">
        <f t="shared" si="14"/>
        <v>108108108108108</v>
      </c>
      <c r="S29" s="81">
        <f>IF(Q6+Q7+Q8+Q9+Q10+Q11+Q12+Q13+Q14+Q15+Q16+Q17=0," ",SMALL(S6:S17,8))</f>
        <v>475</v>
      </c>
      <c r="T29" s="83">
        <f t="shared" si="15"/>
        <v>264</v>
      </c>
      <c r="U29" s="110" t="str">
        <f t="shared" si="16"/>
        <v>~~~~~</v>
      </c>
      <c r="V29" s="111"/>
      <c r="W29" s="111"/>
      <c r="X29" s="80" t="str">
        <f t="shared" si="17"/>
        <v>8989898989</v>
      </c>
      <c r="Y29" s="81">
        <f>IF(W6+W7+W8+W9+W10+W11+W12+W13+W14+W15+W16+W17=0," ",SMALL(Y6:Y17,8))</f>
        <v>564</v>
      </c>
      <c r="Z29" s="83">
        <f t="shared" si="18"/>
        <v>283</v>
      </c>
    </row>
    <row r="30" spans="1:38" ht="20.100000000000001" customHeight="1" x14ac:dyDescent="0.3">
      <c r="B30" s="14">
        <v>9</v>
      </c>
      <c r="C30" s="104" t="str">
        <f t="shared" si="19"/>
        <v>~~~~~</v>
      </c>
      <c r="D30" s="105"/>
      <c r="E30" s="106"/>
      <c r="F30" s="84" t="str">
        <f t="shared" si="8"/>
        <v>221221221221221</v>
      </c>
      <c r="G30" s="85">
        <f>IF(SUM(E$6:E$17)=0," ",SMALL(G$6:G$17,9))</f>
        <v>221</v>
      </c>
      <c r="H30" s="77">
        <f t="shared" si="9"/>
        <v>155</v>
      </c>
      <c r="I30" s="96" t="str">
        <f t="shared" si="10"/>
        <v>~~~~~</v>
      </c>
      <c r="J30" s="97"/>
      <c r="K30" s="97"/>
      <c r="L30" s="84" t="str">
        <f t="shared" si="11"/>
        <v>146146146146146</v>
      </c>
      <c r="M30" s="85">
        <f>IF(SUM(K$6:K$17)=0," ",SMALL(M$6:M$17,9))</f>
        <v>367</v>
      </c>
      <c r="N30" s="78">
        <f t="shared" si="12"/>
        <v>230</v>
      </c>
      <c r="O30" s="96" t="str">
        <f t="shared" si="13"/>
        <v>~~~~~</v>
      </c>
      <c r="P30" s="97"/>
      <c r="Q30" s="97"/>
      <c r="R30" s="84" t="str">
        <f t="shared" si="14"/>
        <v>108108108108108</v>
      </c>
      <c r="S30" s="85">
        <f>IF(Q6+Q7+Q8+Q9+Q10+Q11+Q12+Q13+Q14+Q15+Q16+Q17=0," ",SMALL(S6:S17,9))</f>
        <v>475</v>
      </c>
      <c r="T30" s="78">
        <f t="shared" si="15"/>
        <v>264</v>
      </c>
      <c r="U30" s="96" t="str">
        <f t="shared" si="16"/>
        <v>~~~~~</v>
      </c>
      <c r="V30" s="97"/>
      <c r="W30" s="97"/>
      <c r="X30" s="84" t="str">
        <f t="shared" si="17"/>
        <v>8989898989</v>
      </c>
      <c r="Y30" s="85">
        <f>IF(W6+W7+W8+W9+W10+W11+W12+W13+W14+W15+W16+W17=0," ",SMALL(Y6:Y17,9))</f>
        <v>564</v>
      </c>
      <c r="Z30" s="86">
        <f t="shared" si="18"/>
        <v>283</v>
      </c>
    </row>
    <row r="31" spans="1:38" ht="20.100000000000001" customHeight="1" x14ac:dyDescent="0.3">
      <c r="B31" s="34">
        <v>10</v>
      </c>
      <c r="C31" s="107" t="str">
        <f t="shared" si="19"/>
        <v>~~~~~</v>
      </c>
      <c r="D31" s="108"/>
      <c r="E31" s="109"/>
      <c r="F31" s="80" t="str">
        <f t="shared" si="8"/>
        <v>221221221221221</v>
      </c>
      <c r="G31" s="81">
        <f>IF(SUM(E$6:E$17)=0," ",SMALL(G$6:G$17,10))</f>
        <v>221</v>
      </c>
      <c r="H31" s="82">
        <f t="shared" si="9"/>
        <v>155</v>
      </c>
      <c r="I31" s="110" t="str">
        <f t="shared" si="10"/>
        <v>~~~~~</v>
      </c>
      <c r="J31" s="111"/>
      <c r="K31" s="111"/>
      <c r="L31" s="80" t="str">
        <f t="shared" si="11"/>
        <v>146146146146146</v>
      </c>
      <c r="M31" s="81">
        <f>IF(SUM(K$6:K$17)=0," ",SMALL(M$6:M$17,10))</f>
        <v>367</v>
      </c>
      <c r="N31" s="83">
        <f t="shared" si="12"/>
        <v>230</v>
      </c>
      <c r="O31" s="110" t="str">
        <f t="shared" si="13"/>
        <v>~~~~~</v>
      </c>
      <c r="P31" s="111"/>
      <c r="Q31" s="111"/>
      <c r="R31" s="80" t="str">
        <f t="shared" si="14"/>
        <v>108108108108108</v>
      </c>
      <c r="S31" s="81">
        <f>IF(Q6+Q7+Q8+Q9+Q10+Q11+Q12+Q13+Q14+Q15+Q16+Q17=0," ",SMALL(S6:S17,10))</f>
        <v>475</v>
      </c>
      <c r="T31" s="83">
        <f t="shared" si="15"/>
        <v>264</v>
      </c>
      <c r="U31" s="110" t="str">
        <f t="shared" si="16"/>
        <v>~~~~~</v>
      </c>
      <c r="V31" s="111"/>
      <c r="W31" s="111"/>
      <c r="X31" s="80" t="str">
        <f t="shared" si="17"/>
        <v>8989898989</v>
      </c>
      <c r="Y31" s="81">
        <f>IF(W6+W7+W8+W9+W10+W11+W12+W13+W14+W15+W16+W17=0," ",SMALL(Y6:Y17,10))</f>
        <v>564</v>
      </c>
      <c r="Z31" s="83">
        <f t="shared" si="18"/>
        <v>283</v>
      </c>
    </row>
    <row r="32" spans="1:38" ht="20.100000000000001" customHeight="1" x14ac:dyDescent="0.3">
      <c r="B32" s="5">
        <v>11</v>
      </c>
      <c r="C32" s="93" t="str">
        <f t="shared" si="19"/>
        <v>~~~~~</v>
      </c>
      <c r="D32" s="94"/>
      <c r="E32" s="95"/>
      <c r="F32" s="87" t="str">
        <f t="shared" si="8"/>
        <v>221221221221221</v>
      </c>
      <c r="G32" s="88">
        <f>IF(SUM(E$6:E$17)=0," ",SMALL(G$6:G$17,11))</f>
        <v>221</v>
      </c>
      <c r="H32" s="77">
        <f t="shared" si="9"/>
        <v>155</v>
      </c>
      <c r="I32" s="96" t="str">
        <f t="shared" si="10"/>
        <v>~~~~~</v>
      </c>
      <c r="J32" s="97"/>
      <c r="K32" s="97"/>
      <c r="L32" s="87" t="str">
        <f t="shared" si="11"/>
        <v>146146146146146</v>
      </c>
      <c r="M32" s="88">
        <f>IF(SUM(K$6:K$17)=0," ",SMALL(M$6:M$17,11))</f>
        <v>367</v>
      </c>
      <c r="N32" s="78">
        <f t="shared" si="12"/>
        <v>230</v>
      </c>
      <c r="O32" s="96" t="str">
        <f t="shared" si="13"/>
        <v>~~~~~</v>
      </c>
      <c r="P32" s="97"/>
      <c r="Q32" s="97"/>
      <c r="R32" s="87" t="str">
        <f t="shared" si="14"/>
        <v>108108108108108</v>
      </c>
      <c r="S32" s="88">
        <f>IF(Q6+Q7+Q8+Q9+Q10+Q11+Q12+Q13+Q14+Q15+Q16+Q17=0," ",SMALL(S6:S17,11))</f>
        <v>475</v>
      </c>
      <c r="T32" s="86">
        <f t="shared" si="15"/>
        <v>264</v>
      </c>
      <c r="U32" s="98" t="str">
        <f t="shared" si="16"/>
        <v>~~~~~</v>
      </c>
      <c r="V32" s="99"/>
      <c r="W32" s="99"/>
      <c r="X32" s="87" t="str">
        <f t="shared" si="17"/>
        <v>8989898989</v>
      </c>
      <c r="Y32" s="88">
        <f>IF(W6+W7+W8+W9+W10+W11+W12+W13+W14+W15+W16+W17=0," ",SMALL(Y6:Y17,11))</f>
        <v>564</v>
      </c>
      <c r="Z32" s="86">
        <f t="shared" si="18"/>
        <v>283</v>
      </c>
    </row>
    <row r="33" spans="2:32" ht="20.100000000000001" customHeight="1" x14ac:dyDescent="0.3">
      <c r="B33" s="35">
        <v>12</v>
      </c>
      <c r="C33" s="100" t="str">
        <f t="shared" si="19"/>
        <v>~~~~~</v>
      </c>
      <c r="D33" s="101"/>
      <c r="E33" s="101"/>
      <c r="F33" s="89" t="str">
        <f t="shared" si="8"/>
        <v>221221221221221</v>
      </c>
      <c r="G33" s="89">
        <f>IF(SUM(E$6:E$17)=0," ",SMALL(G$6:G$17,12))</f>
        <v>221</v>
      </c>
      <c r="H33" s="90">
        <f t="shared" si="9"/>
        <v>155</v>
      </c>
      <c r="I33" s="102" t="str">
        <f t="shared" si="10"/>
        <v>~~~~~</v>
      </c>
      <c r="J33" s="103"/>
      <c r="K33" s="103"/>
      <c r="L33" s="89" t="str">
        <f t="shared" si="11"/>
        <v>146146146146146</v>
      </c>
      <c r="M33" s="89">
        <f>IF(SUM(K$6:K$17)=0," ",SMALL(M$6:M$17,12))</f>
        <v>367</v>
      </c>
      <c r="N33" s="91">
        <f t="shared" si="12"/>
        <v>230</v>
      </c>
      <c r="O33" s="102" t="str">
        <f t="shared" si="13"/>
        <v>~~~~~</v>
      </c>
      <c r="P33" s="103"/>
      <c r="Q33" s="103"/>
      <c r="R33" s="89" t="str">
        <f t="shared" si="14"/>
        <v>108108108108108</v>
      </c>
      <c r="S33" s="89">
        <f>IF(Q6+Q7+Q8+Q9+Q10+Q11+Q12+Q13+Q14+Q15+Q16+Q17=0," ",SMALL(S6:S17,12))</f>
        <v>475</v>
      </c>
      <c r="T33" s="91">
        <f t="shared" si="15"/>
        <v>264</v>
      </c>
      <c r="U33" s="102" t="str">
        <f t="shared" si="16"/>
        <v>~~~~~</v>
      </c>
      <c r="V33" s="103"/>
      <c r="W33" s="103"/>
      <c r="X33" s="89" t="str">
        <f t="shared" si="17"/>
        <v>8989898989</v>
      </c>
      <c r="Y33" s="89">
        <f>IF(W6+W7+W8+W9+W10+W11+W12+W13+W14+W15+W16+W17=0," ",SMALL(Y6:Y17,12))</f>
        <v>564</v>
      </c>
      <c r="Z33" s="91">
        <f t="shared" si="18"/>
        <v>283</v>
      </c>
    </row>
    <row r="34" spans="2:32" s="8" customFormat="1" x14ac:dyDescent="0.25">
      <c r="F34" s="36"/>
      <c r="G34" s="36"/>
      <c r="H34" s="36"/>
      <c r="L34" s="36"/>
      <c r="M34" s="36"/>
      <c r="N34" s="36"/>
      <c r="R34" s="36"/>
      <c r="S34" s="36"/>
      <c r="T34" s="36"/>
      <c r="X34" s="36"/>
      <c r="Y34" s="36"/>
      <c r="Z34" s="36"/>
      <c r="AD34" s="36"/>
      <c r="AE34" s="36"/>
      <c r="AF34" s="36"/>
    </row>
    <row r="35" spans="2:32" ht="15.6" x14ac:dyDescent="0.3">
      <c r="C35" s="92" t="s">
        <v>47</v>
      </c>
      <c r="D35" s="92"/>
      <c r="E35" s="92"/>
      <c r="F35" s="92"/>
      <c r="G35" s="92"/>
      <c r="H35" s="92"/>
      <c r="I35" s="92"/>
      <c r="J35" s="92"/>
      <c r="P35" s="37"/>
      <c r="Q35" s="37"/>
      <c r="R35" s="37"/>
      <c r="S35" s="37"/>
      <c r="T35" s="37"/>
      <c r="U35" s="37"/>
      <c r="V35" s="37"/>
      <c r="W35" s="37"/>
    </row>
    <row r="36" spans="2:32" ht="15.6" x14ac:dyDescent="0.3">
      <c r="C36" s="92" t="s">
        <v>48</v>
      </c>
      <c r="D36" s="92"/>
      <c r="E36" s="92"/>
      <c r="F36" s="92"/>
      <c r="G36" s="92"/>
      <c r="H36" s="92"/>
      <c r="I36" s="92"/>
      <c r="J36" s="92"/>
      <c r="P36" s="37"/>
      <c r="Q36" s="37"/>
      <c r="R36" s="37"/>
      <c r="S36" s="37"/>
      <c r="T36" s="37"/>
      <c r="U36" s="37"/>
      <c r="V36" s="37"/>
      <c r="W36" s="37"/>
    </row>
    <row r="37" spans="2:32" x14ac:dyDescent="0.25">
      <c r="P37" s="37"/>
      <c r="Q37" s="37"/>
      <c r="R37" s="37"/>
      <c r="S37" s="37"/>
      <c r="T37" s="37"/>
      <c r="U37" s="37"/>
      <c r="V37" s="37"/>
      <c r="W37" s="37"/>
    </row>
  </sheetData>
  <mergeCells count="81">
    <mergeCell ref="A1:B2"/>
    <mergeCell ref="D1:G1"/>
    <mergeCell ref="J1:M1"/>
    <mergeCell ref="P1:S1"/>
    <mergeCell ref="V1:Y1"/>
    <mergeCell ref="E2:G2"/>
    <mergeCell ref="K2:M2"/>
    <mergeCell ref="W2:Y2"/>
    <mergeCell ref="A3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C19:Z19"/>
    <mergeCell ref="C20:H20"/>
    <mergeCell ref="I20:N20"/>
    <mergeCell ref="O20:T20"/>
    <mergeCell ref="U20:Z20"/>
    <mergeCell ref="C21:E21"/>
    <mergeCell ref="I21:K21"/>
    <mergeCell ref="O21:Q21"/>
    <mergeCell ref="U21:W21"/>
    <mergeCell ref="C22:E22"/>
    <mergeCell ref="I22:K22"/>
    <mergeCell ref="O22:Q22"/>
    <mergeCell ref="U22:W22"/>
    <mergeCell ref="C23:E23"/>
    <mergeCell ref="I23:K23"/>
    <mergeCell ref="O23:Q23"/>
    <mergeCell ref="U23:W23"/>
    <mergeCell ref="C24:E24"/>
    <mergeCell ref="I24:K24"/>
    <mergeCell ref="O24:Q24"/>
    <mergeCell ref="U24:W24"/>
    <mergeCell ref="C25:E25"/>
    <mergeCell ref="I25:K25"/>
    <mergeCell ref="O25:Q25"/>
    <mergeCell ref="U25:W25"/>
    <mergeCell ref="C26:E26"/>
    <mergeCell ref="I26:K26"/>
    <mergeCell ref="O26:Q26"/>
    <mergeCell ref="U26:W26"/>
    <mergeCell ref="C27:E27"/>
    <mergeCell ref="I27:K27"/>
    <mergeCell ref="O27:Q27"/>
    <mergeCell ref="U27:W27"/>
    <mergeCell ref="C28:E28"/>
    <mergeCell ref="I28:K28"/>
    <mergeCell ref="O28:Q28"/>
    <mergeCell ref="U28:W28"/>
    <mergeCell ref="C29:E29"/>
    <mergeCell ref="I29:K29"/>
    <mergeCell ref="O29:Q29"/>
    <mergeCell ref="U29:W29"/>
    <mergeCell ref="C30:E30"/>
    <mergeCell ref="I30:K30"/>
    <mergeCell ref="O30:Q30"/>
    <mergeCell ref="U30:W30"/>
    <mergeCell ref="C31:E31"/>
    <mergeCell ref="I31:K31"/>
    <mergeCell ref="O31:Q31"/>
    <mergeCell ref="U31:W31"/>
    <mergeCell ref="U32:W32"/>
    <mergeCell ref="C33:E33"/>
    <mergeCell ref="I33:K33"/>
    <mergeCell ref="O33:Q33"/>
    <mergeCell ref="U33:W33"/>
    <mergeCell ref="C35:J35"/>
    <mergeCell ref="C36:J36"/>
    <mergeCell ref="C32:E32"/>
    <mergeCell ref="I32:K32"/>
    <mergeCell ref="O32:Q3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INFRAWARE, Inc.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Joe Murray</cp:lastModifiedBy>
  <cp:revision>3</cp:revision>
  <dcterms:modified xsi:type="dcterms:W3CDTF">2015-08-08T21:18:13Z</dcterms:modified>
</cp:coreProperties>
</file>